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updateLinks="never" codeName="ThisWorkbook" defaultThemeVersion="124226"/>
  <mc:AlternateContent xmlns:mc="http://schemas.openxmlformats.org/markup-compatibility/2006">
    <mc:Choice Requires="x15">
      <x15ac:absPath xmlns:x15ac="http://schemas.microsoft.com/office/spreadsheetml/2010/11/ac" url="C:\Documents\GHG Assessment Procedure (New Plantings)\Coded document\"/>
    </mc:Choice>
  </mc:AlternateContent>
  <bookViews>
    <workbookView xWindow="0" yWindow="0" windowWidth="20490" windowHeight="7530" tabRatio="621" firstSheet="12" activeTab="15"/>
  </bookViews>
  <sheets>
    <sheet name="Pendahuluan" sheetId="1" r:id="rId1"/>
    <sheet name="Singkatan" sheetId="23" r:id="rId2"/>
    <sheet name="Petunjuk" sheetId="3" r:id="rId3"/>
    <sheet name="Ringkasan Hasil" sheetId="4" r:id="rId4"/>
    <sheet name="1. Emisi-emisi LUC" sheetId="18" r:id="rId5"/>
    <sheet name="2. Produksi FFB" sheetId="22" r:id="rId6"/>
    <sheet name="3. Bahan bakar kebun" sheetId="8" r:id="rId7"/>
    <sheet name="4. Lahan gambut" sheetId="11" r:id="rId8"/>
    <sheet name="5. Pupuk pilihan pengguna" sheetId="16" r:id="rId9"/>
    <sheet name="6. Pupuk dan N2O" sheetId="7" r:id="rId10"/>
    <sheet name="7. Penyerapan karbon Area Konse" sheetId="10" r:id="rId11"/>
    <sheet name="8. Penyerapan karbon tanaman" sheetId="19" r:id="rId12"/>
    <sheet name="9. Data Mill" sheetId="21" r:id="rId13"/>
    <sheet name="Data default" sheetId="12" r:id="rId14"/>
    <sheet name="Alokasi terhadap produk tanaman" sheetId="13" r:id="rId15"/>
    <sheet name="Daftar Pustaka" sheetId="14" r:id="rId16"/>
  </sheets>
  <externalReferences>
    <externalReference r:id="rId17"/>
    <externalReference r:id="rId18"/>
  </externalReferences>
  <definedNames>
    <definedName name="A" localSheetId="5">#REF!</definedName>
    <definedName name="A" localSheetId="12">#REF!</definedName>
    <definedName name="A" localSheetId="1">#REF!</definedName>
    <definedName name="A">#REF!</definedName>
    <definedName name="agro_inputs" localSheetId="5">#REF!</definedName>
    <definedName name="agro_inputs" localSheetId="12">#REF!</definedName>
    <definedName name="agro_inputs" localSheetId="1">#REF!</definedName>
    <definedName name="agro_inputs">#REF!</definedName>
    <definedName name="chemicals" localSheetId="5">#REF!</definedName>
    <definedName name="chemicals" localSheetId="12">#REF!</definedName>
    <definedName name="chemicals" localSheetId="1">#REF!</definedName>
    <definedName name="chemicals">#REF!</definedName>
    <definedName name="ChoiceListFeedstocks">[1]Chains!$H$11:$H$12</definedName>
    <definedName name="EF_agro_inputs" localSheetId="5">#REF!</definedName>
    <definedName name="EF_agro_inputs" localSheetId="12">#REF!</definedName>
    <definedName name="EF_agro_inputs" localSheetId="1">#REF!</definedName>
    <definedName name="EF_agro_inputs">#REF!</definedName>
    <definedName name="EF_chemicals_kg" localSheetId="5">#REF!</definedName>
    <definedName name="EF_chemicals_kg" localSheetId="12">#REF!</definedName>
    <definedName name="EF_chemicals_kg" localSheetId="1">#REF!</definedName>
    <definedName name="EF_chemicals_kg">#REF!</definedName>
    <definedName name="EF_chemicals_MJ" localSheetId="5">#REF!</definedName>
    <definedName name="EF_chemicals_MJ" localSheetId="12">#REF!</definedName>
    <definedName name="EF_chemicals_MJ" localSheetId="1">#REF!</definedName>
    <definedName name="EF_chemicals_MJ">#REF!</definedName>
    <definedName name="EF_electricity" localSheetId="5">#REF!</definedName>
    <definedName name="EF_electricity" localSheetId="12">#REF!</definedName>
    <definedName name="EF_electricity" localSheetId="1">#REF!</definedName>
    <definedName name="EF_electricity">#REF!</definedName>
    <definedName name="EF_fuels_MJ" localSheetId="5">#REF!</definedName>
    <definedName name="EF_fuels_MJ" localSheetId="12">#REF!</definedName>
    <definedName name="EF_fuels_MJ" localSheetId="1">#REF!</definedName>
    <definedName name="EF_fuels_MJ">#REF!</definedName>
    <definedName name="electricity" localSheetId="5">#REF!</definedName>
    <definedName name="electricity" localSheetId="12">#REF!</definedName>
    <definedName name="electricity" localSheetId="1">#REF!</definedName>
    <definedName name="electricity">#REF!</definedName>
    <definedName name="FE_transport" localSheetId="5">#REF!</definedName>
    <definedName name="FE_transport" localSheetId="12">#REF!</definedName>
    <definedName name="FE_transport" localSheetId="1">#REF!</definedName>
    <definedName name="FE_transport">#REF!</definedName>
    <definedName name="fuels" localSheetId="5">#REF!</definedName>
    <definedName name="fuels" localSheetId="12">#REF!</definedName>
    <definedName name="fuels" localSheetId="1">#REF!</definedName>
    <definedName name="fuels">#REF!</definedName>
    <definedName name="LandUse">'1. Emisi-emisi LUC'!$A$6:$A$21</definedName>
    <definedName name="LandUseType">'1. Emisi-emisi LUC'!$A$6:$A$21</definedName>
    <definedName name="LHV_fuels" localSheetId="5">#REF!</definedName>
    <definedName name="LHV_fuels" localSheetId="12">#REF!</definedName>
    <definedName name="LHV_fuels" localSheetId="1">#REF!</definedName>
    <definedName name="LHV_fuels">#REF!</definedName>
    <definedName name="LHV_solids" localSheetId="5">#REF!</definedName>
    <definedName name="LHV_solids" localSheetId="12">#REF!</definedName>
    <definedName name="LHV_solids" localSheetId="1">#REF!</definedName>
    <definedName name="LHV_solids">#REF!</definedName>
    <definedName name="Option_A_0_B_1">[2]About!$B$79</definedName>
    <definedName name="Options" localSheetId="5">#REF!</definedName>
    <definedName name="Options" localSheetId="12">#REF!</definedName>
    <definedName name="Options" localSheetId="1">#REF!</definedName>
    <definedName name="Options">#REF!</definedName>
    <definedName name="solids" localSheetId="5">#REF!</definedName>
    <definedName name="solids" localSheetId="12">#REF!</definedName>
    <definedName name="solids" localSheetId="1">#REF!</definedName>
    <definedName name="solids">#REF!</definedName>
    <definedName name="Transport" localSheetId="5">#REF!</definedName>
    <definedName name="Transport" localSheetId="12">#REF!</definedName>
    <definedName name="Transport" localSheetId="1">#REF!</definedName>
    <definedName name="Transport">#REF!</definedName>
  </definedNames>
  <calcPr calcId="162913"/>
  <customWorkbookViews>
    <customWorkbookView name="Melissa.chin - Personal View" guid="{E65377FD-65C5-4E48-ADBC-1C49981F2400}" mergeInterval="0" personalView="1" maximized="1" xWindow="1" yWindow="1" windowWidth="1362" windowHeight="538" activeSheetId="12"/>
  </customWorkbookViews>
</workbook>
</file>

<file path=xl/calcChain.xml><?xml version="1.0" encoding="utf-8"?>
<calcChain xmlns="http://schemas.openxmlformats.org/spreadsheetml/2006/main">
  <c r="E80" i="7" l="1"/>
  <c r="E81" i="7" s="1"/>
  <c r="G64" i="4"/>
  <c r="G66" i="4"/>
  <c r="G67" i="4"/>
  <c r="G68" i="4"/>
  <c r="G63" i="4"/>
  <c r="H9" i="4"/>
  <c r="H8" i="4"/>
  <c r="H7" i="4"/>
  <c r="H5" i="4"/>
  <c r="H4" i="4"/>
  <c r="E82" i="7" l="1"/>
  <c r="E83" i="7" s="1"/>
  <c r="E84" i="7" s="1"/>
  <c r="C345" i="12"/>
  <c r="C344" i="12"/>
  <c r="C340" i="12"/>
  <c r="C339" i="12"/>
  <c r="C338" i="12"/>
  <c r="C334" i="12"/>
  <c r="C333" i="12"/>
  <c r="C332" i="12"/>
  <c r="C331" i="12"/>
  <c r="C330" i="12"/>
  <c r="C316" i="12"/>
  <c r="C315" i="12"/>
  <c r="C311" i="12"/>
  <c r="C310" i="12"/>
  <c r="C309" i="12"/>
  <c r="C305" i="12"/>
  <c r="C304" i="12"/>
  <c r="C303" i="12"/>
  <c r="C302" i="12"/>
  <c r="C301" i="12"/>
  <c r="C287" i="12"/>
  <c r="C286" i="12"/>
  <c r="C282" i="12"/>
  <c r="C281" i="12"/>
  <c r="C280" i="12"/>
  <c r="C276" i="12"/>
  <c r="C275" i="12"/>
  <c r="C274" i="12"/>
  <c r="C273" i="12"/>
  <c r="C272" i="12"/>
  <c r="C258" i="12"/>
  <c r="C257" i="12"/>
  <c r="C253" i="12"/>
  <c r="C252" i="12"/>
  <c r="C251" i="12"/>
  <c r="C247" i="12"/>
  <c r="C246" i="12"/>
  <c r="C245" i="12"/>
  <c r="C244" i="12"/>
  <c r="C243" i="12"/>
  <c r="C229" i="12"/>
  <c r="C228" i="12"/>
  <c r="C224" i="12"/>
  <c r="C223" i="12"/>
  <c r="C222" i="12"/>
  <c r="C218" i="12"/>
  <c r="C217" i="12"/>
  <c r="C216" i="12"/>
  <c r="C215" i="12"/>
  <c r="C214" i="12"/>
  <c r="B346" i="12"/>
  <c r="B341" i="12"/>
  <c r="B335" i="12"/>
  <c r="B317" i="12"/>
  <c r="B312" i="12"/>
  <c r="B306" i="12"/>
  <c r="B288" i="12"/>
  <c r="B283" i="12"/>
  <c r="B277" i="12"/>
  <c r="B259" i="12"/>
  <c r="B254" i="12"/>
  <c r="B248" i="12"/>
  <c r="B230" i="12"/>
  <c r="B225" i="12"/>
  <c r="B219" i="12"/>
  <c r="C200" i="12"/>
  <c r="C199" i="12"/>
  <c r="C195" i="12"/>
  <c r="C194" i="12"/>
  <c r="C193" i="12"/>
  <c r="C189" i="12"/>
  <c r="C188" i="12"/>
  <c r="C187" i="12"/>
  <c r="C186" i="12"/>
  <c r="C185" i="12"/>
  <c r="C171" i="12"/>
  <c r="C170" i="12"/>
  <c r="C166" i="12"/>
  <c r="C165" i="12"/>
  <c r="C164" i="12"/>
  <c r="C160" i="12"/>
  <c r="C159" i="12"/>
  <c r="C158" i="12"/>
  <c r="C157" i="12"/>
  <c r="C156" i="12"/>
  <c r="C142" i="12"/>
  <c r="C141" i="12"/>
  <c r="C137" i="12"/>
  <c r="C136" i="12"/>
  <c r="C135" i="12"/>
  <c r="C131" i="12"/>
  <c r="C130" i="12"/>
  <c r="C129" i="12"/>
  <c r="C128" i="12"/>
  <c r="C127" i="12"/>
  <c r="B201" i="12"/>
  <c r="B196" i="12"/>
  <c r="B190" i="12"/>
  <c r="B172" i="12"/>
  <c r="B167" i="12"/>
  <c r="B161" i="12"/>
  <c r="B143" i="12"/>
  <c r="B138" i="12"/>
  <c r="B132" i="12"/>
  <c r="C27" i="18"/>
  <c r="C28" i="18"/>
  <c r="C277" i="12" l="1"/>
  <c r="C278" i="12" s="1"/>
  <c r="C172" i="12"/>
  <c r="C173" i="12" s="1"/>
  <c r="C288" i="12"/>
  <c r="C143" i="12"/>
  <c r="C341" i="12"/>
  <c r="C342" i="12" s="1"/>
  <c r="C289" i="12"/>
  <c r="C312" i="12"/>
  <c r="C313" i="12" s="1"/>
  <c r="C225" i="12"/>
  <c r="C226" i="12" s="1"/>
  <c r="C230" i="12"/>
  <c r="C231" i="12" s="1"/>
  <c r="C259" i="12"/>
  <c r="C260" i="12" s="1"/>
  <c r="C317" i="12"/>
  <c r="C318" i="12" s="1"/>
  <c r="C306" i="12"/>
  <c r="C307" i="12" s="1"/>
  <c r="C248" i="12"/>
  <c r="C249" i="12" s="1"/>
  <c r="C283" i="12"/>
  <c r="C284" i="12" s="1"/>
  <c r="C346" i="12"/>
  <c r="C347" i="12" s="1"/>
  <c r="C254" i="12"/>
  <c r="C255" i="12" s="1"/>
  <c r="C335" i="12"/>
  <c r="C336" i="12" s="1"/>
  <c r="C219" i="12"/>
  <c r="C220" i="12" s="1"/>
  <c r="C161" i="12"/>
  <c r="C162" i="12" s="1"/>
  <c r="C144" i="12"/>
  <c r="C132" i="12"/>
  <c r="C133" i="12" s="1"/>
  <c r="C138" i="12"/>
  <c r="C139" i="12" s="1"/>
  <c r="C196" i="12"/>
  <c r="C197" i="12" s="1"/>
  <c r="C201" i="12"/>
  <c r="C202" i="12" s="1"/>
  <c r="C167" i="12"/>
  <c r="C168" i="12" s="1"/>
  <c r="C190" i="12"/>
  <c r="C191" i="12" s="1"/>
  <c r="C113" i="12"/>
  <c r="C112" i="12"/>
  <c r="C99" i="12"/>
  <c r="C98" i="12"/>
  <c r="B114" i="12"/>
  <c r="B109" i="12"/>
  <c r="C108" i="12"/>
  <c r="C107" i="12"/>
  <c r="C106" i="12"/>
  <c r="B103" i="12"/>
  <c r="C102" i="12"/>
  <c r="C101" i="12"/>
  <c r="C100" i="12"/>
  <c r="C216" i="16" l="1"/>
  <c r="C190" i="16"/>
  <c r="C242" i="16"/>
  <c r="C86" i="16"/>
  <c r="C164" i="16"/>
  <c r="C138" i="16"/>
  <c r="C112" i="16"/>
  <c r="C268" i="16"/>
  <c r="C114" i="12"/>
  <c r="C115" i="12" s="1"/>
  <c r="C109" i="12"/>
  <c r="C110" i="12" s="1"/>
  <c r="C103" i="12"/>
  <c r="C104" i="12" s="1"/>
  <c r="C60" i="16" l="1"/>
  <c r="C21" i="7"/>
  <c r="E52" i="12"/>
  <c r="E59" i="12"/>
  <c r="E58" i="12"/>
  <c r="E57" i="12"/>
  <c r="E56" i="12"/>
  <c r="E55" i="12"/>
  <c r="E54" i="12"/>
  <c r="E53" i="12"/>
  <c r="D59" i="12"/>
  <c r="D58" i="12"/>
  <c r="D57" i="12"/>
  <c r="D56" i="12"/>
  <c r="D55" i="12"/>
  <c r="D54" i="12"/>
  <c r="D53" i="12"/>
  <c r="D52" i="12"/>
  <c r="D51" i="12"/>
  <c r="D50" i="12"/>
  <c r="B54" i="12"/>
  <c r="I54" i="12" s="1"/>
  <c r="B53" i="12"/>
  <c r="I53" i="12" s="1"/>
  <c r="B52" i="12"/>
  <c r="J52" i="12" s="1"/>
  <c r="B51" i="12"/>
  <c r="I51" i="12" s="1"/>
  <c r="B55" i="12"/>
  <c r="B56" i="12"/>
  <c r="B57" i="12"/>
  <c r="J57" i="12" s="1"/>
  <c r="B58" i="12"/>
  <c r="J58" i="12" s="1"/>
  <c r="B59" i="12"/>
  <c r="J59" i="12" s="1"/>
  <c r="E51" i="12"/>
  <c r="E50" i="12"/>
  <c r="B50" i="12"/>
  <c r="I50" i="12" s="1"/>
  <c r="A59" i="12"/>
  <c r="A58" i="12"/>
  <c r="A57" i="12"/>
  <c r="A56" i="12"/>
  <c r="A55" i="12"/>
  <c r="A54" i="12"/>
  <c r="A53" i="12"/>
  <c r="A52" i="12"/>
  <c r="A51" i="12"/>
  <c r="A50" i="12"/>
  <c r="A28" i="7"/>
  <c r="A52" i="7" s="1"/>
  <c r="A27" i="7"/>
  <c r="A51" i="7" s="1"/>
  <c r="A26" i="7"/>
  <c r="A50" i="7" s="1"/>
  <c r="A25" i="7"/>
  <c r="A49" i="7" s="1"/>
  <c r="A24" i="7"/>
  <c r="A48" i="7" s="1"/>
  <c r="C25" i="7"/>
  <c r="C26" i="7"/>
  <c r="C27" i="7"/>
  <c r="C28" i="7"/>
  <c r="E69" i="7"/>
  <c r="E68" i="7"/>
  <c r="B79" i="21"/>
  <c r="G254" i="16"/>
  <c r="H254" i="16" s="1"/>
  <c r="H252" i="16"/>
  <c r="I252" i="16" s="1"/>
  <c r="J250" i="16"/>
  <c r="G228" i="16"/>
  <c r="H228" i="16" s="1"/>
  <c r="H226" i="16"/>
  <c r="I226" i="16" s="1"/>
  <c r="J224" i="16"/>
  <c r="G202" i="16"/>
  <c r="H202" i="16" s="1"/>
  <c r="H200" i="16"/>
  <c r="I200" i="16" s="1"/>
  <c r="J198" i="16"/>
  <c r="G176" i="16"/>
  <c r="H176" i="16" s="1"/>
  <c r="H174" i="16"/>
  <c r="I174" i="16" s="1"/>
  <c r="J172" i="16"/>
  <c r="G150" i="16"/>
  <c r="H150" i="16" s="1"/>
  <c r="H148" i="16"/>
  <c r="I148" i="16" s="1"/>
  <c r="J146" i="16"/>
  <c r="G124" i="16"/>
  <c r="H124" i="16" s="1"/>
  <c r="H122" i="16"/>
  <c r="I122" i="16" s="1"/>
  <c r="J120" i="16"/>
  <c r="G98" i="16"/>
  <c r="H98" i="16" s="1"/>
  <c r="H96" i="16"/>
  <c r="I96" i="16" s="1"/>
  <c r="J94" i="16"/>
  <c r="G72" i="16"/>
  <c r="H72" i="16" s="1"/>
  <c r="H70" i="16"/>
  <c r="I70" i="16" s="1"/>
  <c r="J68" i="16"/>
  <c r="G46" i="16"/>
  <c r="H46" i="16" s="1"/>
  <c r="H44" i="16"/>
  <c r="I44" i="16" s="1"/>
  <c r="J42" i="16"/>
  <c r="B7" i="18"/>
  <c r="B8" i="18"/>
  <c r="B9" i="18"/>
  <c r="B10" i="18"/>
  <c r="B11" i="18"/>
  <c r="B6" i="18"/>
  <c r="B13" i="18"/>
  <c r="B12" i="18"/>
  <c r="C12" i="18" s="1"/>
  <c r="C47" i="18"/>
  <c r="C45" i="18"/>
  <c r="C46" i="18"/>
  <c r="C48" i="18"/>
  <c r="C49" i="18"/>
  <c r="C50" i="18"/>
  <c r="C51" i="18"/>
  <c r="C52" i="18"/>
  <c r="C53" i="18"/>
  <c r="C54" i="18"/>
  <c r="C55" i="18"/>
  <c r="C44" i="18"/>
  <c r="E47" i="18"/>
  <c r="F47" i="18" s="1"/>
  <c r="G47" i="18" s="1"/>
  <c r="E46" i="18"/>
  <c r="E45" i="18"/>
  <c r="F45" i="18" s="1"/>
  <c r="G45" i="18" s="1"/>
  <c r="E48" i="18"/>
  <c r="F48" i="18" s="1"/>
  <c r="G48" i="18" s="1"/>
  <c r="E49" i="18"/>
  <c r="F49" i="18" s="1"/>
  <c r="G49" i="18" s="1"/>
  <c r="E50" i="18"/>
  <c r="E51" i="18"/>
  <c r="F51" i="18" s="1"/>
  <c r="G51" i="18" s="1"/>
  <c r="E52" i="18"/>
  <c r="F52" i="18" s="1"/>
  <c r="G52" i="18" s="1"/>
  <c r="E53" i="18"/>
  <c r="F53" i="18" s="1"/>
  <c r="G53" i="18" s="1"/>
  <c r="E54" i="18"/>
  <c r="F54" i="18" s="1"/>
  <c r="G54" i="18" s="1"/>
  <c r="E55" i="18"/>
  <c r="F55" i="18" s="1"/>
  <c r="G55" i="18" s="1"/>
  <c r="E44" i="18"/>
  <c r="F44" i="18" s="1"/>
  <c r="G44" i="18" s="1"/>
  <c r="E27" i="18"/>
  <c r="F27" i="18" s="1"/>
  <c r="E32" i="18"/>
  <c r="E33" i="18"/>
  <c r="E34" i="18"/>
  <c r="E35" i="18"/>
  <c r="E36" i="18"/>
  <c r="E37" i="18"/>
  <c r="E38" i="18"/>
  <c r="F38" i="18" s="1"/>
  <c r="G38" i="18" s="1"/>
  <c r="C32" i="18"/>
  <c r="C33" i="18"/>
  <c r="C34" i="18"/>
  <c r="C35" i="18"/>
  <c r="C36" i="18"/>
  <c r="C37" i="18"/>
  <c r="C38" i="18"/>
  <c r="C31" i="18"/>
  <c r="F46" i="18"/>
  <c r="G46" i="18" s="1"/>
  <c r="F50" i="18"/>
  <c r="G50" i="18" s="1"/>
  <c r="C29" i="18"/>
  <c r="C30" i="18"/>
  <c r="C16" i="18"/>
  <c r="C17" i="18"/>
  <c r="C18" i="18"/>
  <c r="E31" i="18" s="1"/>
  <c r="C19" i="18"/>
  <c r="C20" i="18"/>
  <c r="C21" i="18"/>
  <c r="C15" i="18"/>
  <c r="C14" i="18"/>
  <c r="C56" i="18" l="1"/>
  <c r="G27" i="18"/>
  <c r="G56" i="18"/>
  <c r="J54" i="12"/>
  <c r="K54" i="12" s="1"/>
  <c r="L54" i="12" s="1"/>
  <c r="J53" i="12"/>
  <c r="K53" i="12" s="1"/>
  <c r="L53" i="12" s="1"/>
  <c r="J51" i="12"/>
  <c r="K51" i="12" s="1"/>
  <c r="L51" i="12" s="1"/>
  <c r="J50" i="12"/>
  <c r="K50" i="12" s="1"/>
  <c r="L50" i="12" s="1"/>
  <c r="I57" i="12"/>
  <c r="K57" i="12" s="1"/>
  <c r="L57" i="12" s="1"/>
  <c r="I58" i="12"/>
  <c r="K58" i="12" s="1"/>
  <c r="L58" i="12" s="1"/>
  <c r="I52" i="12"/>
  <c r="K52" i="12" s="1"/>
  <c r="L52" i="12" s="1"/>
  <c r="I59" i="12"/>
  <c r="K59" i="12" s="1"/>
  <c r="L59" i="12" s="1"/>
  <c r="F56" i="18"/>
  <c r="E56" i="18"/>
  <c r="B80" i="21"/>
  <c r="B68" i="21"/>
  <c r="B67" i="21"/>
  <c r="B38" i="4" l="1"/>
  <c r="F36" i="18"/>
  <c r="G36" i="18" s="1"/>
  <c r="C81" i="12" l="1"/>
  <c r="C82" i="12"/>
  <c r="C77" i="12"/>
  <c r="C76" i="12"/>
  <c r="C75" i="12"/>
  <c r="C71" i="12"/>
  <c r="C70" i="12"/>
  <c r="C69" i="12"/>
  <c r="C68" i="12"/>
  <c r="C67" i="12"/>
  <c r="B83" i="12"/>
  <c r="B78" i="12"/>
  <c r="B72" i="12"/>
  <c r="H24" i="12"/>
  <c r="C11" i="18" s="1"/>
  <c r="H23" i="12"/>
  <c r="C10" i="18" s="1"/>
  <c r="H22" i="12"/>
  <c r="C9" i="18" s="1"/>
  <c r="E30" i="18" s="1"/>
  <c r="H21" i="12"/>
  <c r="C8" i="18" s="1"/>
  <c r="E29" i="18" s="1"/>
  <c r="H20" i="12"/>
  <c r="C7" i="18" s="1"/>
  <c r="E28" i="18" s="1"/>
  <c r="H19" i="12"/>
  <c r="C6" i="18" s="1"/>
  <c r="C8" i="10"/>
  <c r="B11" i="4" s="1"/>
  <c r="I9" i="4" s="1"/>
  <c r="G36" i="4"/>
  <c r="G34" i="4"/>
  <c r="G33" i="4"/>
  <c r="G31" i="4"/>
  <c r="G30" i="4"/>
  <c r="G29" i="4"/>
  <c r="B7" i="13"/>
  <c r="B6" i="13"/>
  <c r="C20" i="7"/>
  <c r="C22" i="7"/>
  <c r="C23" i="7"/>
  <c r="C24" i="7"/>
  <c r="B73" i="21"/>
  <c r="B39" i="4"/>
  <c r="H36" i="4"/>
  <c r="I56" i="12"/>
  <c r="J56" i="12"/>
  <c r="F28" i="18" l="1"/>
  <c r="G28" i="18" s="1"/>
  <c r="E39" i="18"/>
  <c r="C78" i="12"/>
  <c r="C79" i="12" s="1"/>
  <c r="B9" i="13"/>
  <c r="B10" i="13" s="1"/>
  <c r="K56" i="12"/>
  <c r="L56" i="12" s="1"/>
  <c r="C83" i="12"/>
  <c r="C84" i="12" s="1"/>
  <c r="C72" i="12"/>
  <c r="C73" i="12" s="1"/>
  <c r="B30" i="21"/>
  <c r="B29" i="21"/>
  <c r="B28" i="21"/>
  <c r="B27" i="21"/>
  <c r="B15" i="21"/>
  <c r="B14" i="21"/>
  <c r="B54" i="21"/>
  <c r="B53" i="21"/>
  <c r="B51" i="21"/>
  <c r="B50" i="21"/>
  <c r="B48" i="21"/>
  <c r="B46" i="21"/>
  <c r="B44" i="21"/>
  <c r="B43" i="21"/>
  <c r="B42" i="21"/>
  <c r="B40" i="21"/>
  <c r="C34" i="16" l="1"/>
  <c r="G50" i="12" s="1"/>
  <c r="E19" i="7" s="1"/>
  <c r="G57" i="12"/>
  <c r="E26" i="7" s="1"/>
  <c r="G58" i="12"/>
  <c r="E27" i="7" s="1"/>
  <c r="G53" i="12"/>
  <c r="E22" i="7" s="1"/>
  <c r="G52" i="12"/>
  <c r="E21" i="7" s="1"/>
  <c r="G55" i="12"/>
  <c r="E24" i="7" s="1"/>
  <c r="G54" i="12"/>
  <c r="E23" i="7" s="1"/>
  <c r="G51" i="12"/>
  <c r="E20" i="7" s="1"/>
  <c r="G56" i="12"/>
  <c r="E25" i="7" s="1"/>
  <c r="G59" i="12"/>
  <c r="E28" i="7" s="1"/>
  <c r="B45" i="21"/>
  <c r="B49" i="21" s="1"/>
  <c r="B55" i="21"/>
  <c r="B11" i="11"/>
  <c r="B14" i="11" s="1"/>
  <c r="B13" i="11"/>
  <c r="B16" i="11" s="1"/>
  <c r="B12" i="11"/>
  <c r="B15" i="11" s="1"/>
  <c r="B56" i="18"/>
  <c r="E92" i="7" s="1"/>
  <c r="C39" i="18"/>
  <c r="C59" i="18" s="1"/>
  <c r="E78" i="7" s="1"/>
  <c r="C13" i="18"/>
  <c r="P31" i="19"/>
  <c r="Q31" i="19" s="1"/>
  <c r="P30" i="19"/>
  <c r="Q30" i="19" s="1"/>
  <c r="P29" i="19"/>
  <c r="Q29" i="19" s="1"/>
  <c r="P28" i="19"/>
  <c r="Q28" i="19" s="1"/>
  <c r="P27" i="19"/>
  <c r="Q27" i="19" s="1"/>
  <c r="P26" i="19"/>
  <c r="Q26" i="19" s="1"/>
  <c r="P25" i="19"/>
  <c r="Q25" i="19" s="1"/>
  <c r="P24" i="19"/>
  <c r="Q24" i="19" s="1"/>
  <c r="P23" i="19"/>
  <c r="Q23" i="19" s="1"/>
  <c r="P22" i="19"/>
  <c r="Q22" i="19" s="1"/>
  <c r="P21" i="19"/>
  <c r="Q21" i="19" s="1"/>
  <c r="P20" i="19"/>
  <c r="Q20" i="19" s="1"/>
  <c r="P19" i="19"/>
  <c r="Q19" i="19" s="1"/>
  <c r="P18" i="19"/>
  <c r="Q18" i="19" s="1"/>
  <c r="P17" i="19"/>
  <c r="Q17" i="19" s="1"/>
  <c r="P16" i="19"/>
  <c r="Q16" i="19" s="1"/>
  <c r="P15" i="19"/>
  <c r="Q15" i="19" s="1"/>
  <c r="P14" i="19"/>
  <c r="Q14" i="19" s="1"/>
  <c r="P13" i="19"/>
  <c r="Q13" i="19" s="1"/>
  <c r="P12" i="19"/>
  <c r="Q12" i="19" s="1"/>
  <c r="P11" i="19"/>
  <c r="Q11" i="19" s="1"/>
  <c r="P10" i="19"/>
  <c r="Q10" i="19" s="1"/>
  <c r="P9" i="19"/>
  <c r="Q9" i="19" s="1"/>
  <c r="P8" i="19"/>
  <c r="Q8" i="19" s="1"/>
  <c r="P7" i="19"/>
  <c r="Q7" i="19" s="1"/>
  <c r="G31" i="19"/>
  <c r="H31" i="19" s="1"/>
  <c r="G30" i="19"/>
  <c r="H30" i="19" s="1"/>
  <c r="G29" i="19"/>
  <c r="H29" i="19" s="1"/>
  <c r="G28" i="19"/>
  <c r="H28" i="19" s="1"/>
  <c r="G27" i="19"/>
  <c r="H27" i="19" s="1"/>
  <c r="G26" i="19"/>
  <c r="H26" i="19" s="1"/>
  <c r="G25" i="19"/>
  <c r="H25" i="19" s="1"/>
  <c r="G24" i="19"/>
  <c r="H24" i="19" s="1"/>
  <c r="G23" i="19"/>
  <c r="H23" i="19" s="1"/>
  <c r="G22" i="19"/>
  <c r="H22" i="19" s="1"/>
  <c r="G21" i="19"/>
  <c r="H21" i="19" s="1"/>
  <c r="G20" i="19"/>
  <c r="H20" i="19" s="1"/>
  <c r="G19" i="19"/>
  <c r="H19" i="19" s="1"/>
  <c r="G18" i="19"/>
  <c r="H18" i="19" s="1"/>
  <c r="G17" i="19"/>
  <c r="H17" i="19" s="1"/>
  <c r="G16" i="19"/>
  <c r="H16" i="19" s="1"/>
  <c r="G15" i="19"/>
  <c r="H15" i="19" s="1"/>
  <c r="G14" i="19"/>
  <c r="H14" i="19" s="1"/>
  <c r="G13" i="19"/>
  <c r="H13" i="19" s="1"/>
  <c r="G12" i="19"/>
  <c r="H12" i="19" s="1"/>
  <c r="G11" i="19"/>
  <c r="H11" i="19" s="1"/>
  <c r="G10" i="19"/>
  <c r="H10" i="19" s="1"/>
  <c r="G9" i="19"/>
  <c r="H9" i="19" s="1"/>
  <c r="G8" i="19"/>
  <c r="H8" i="19" s="1"/>
  <c r="G7" i="19"/>
  <c r="H7" i="19" s="1"/>
  <c r="E48" i="7" l="1"/>
  <c r="H48" i="7" s="1"/>
  <c r="E52" i="7"/>
  <c r="H52" i="7" s="1"/>
  <c r="B6" i="4"/>
  <c r="I5" i="4" s="1"/>
  <c r="E45" i="7"/>
  <c r="H45" i="7" s="1"/>
  <c r="E49" i="7"/>
  <c r="E46" i="7"/>
  <c r="H46" i="7" s="1"/>
  <c r="E50" i="7"/>
  <c r="H50" i="7" s="1"/>
  <c r="C11" i="4"/>
  <c r="E47" i="7"/>
  <c r="H47" i="7" s="1"/>
  <c r="E51" i="7"/>
  <c r="H51" i="7" s="1"/>
  <c r="E37" i="7"/>
  <c r="I37" i="7" s="1"/>
  <c r="B18" i="11"/>
  <c r="E70" i="7"/>
  <c r="B26" i="4"/>
  <c r="H64" i="4" s="1"/>
  <c r="C14" i="8"/>
  <c r="B47" i="21"/>
  <c r="B30" i="4" l="1"/>
  <c r="B10" i="4"/>
  <c r="C6" i="4"/>
  <c r="I14" i="8"/>
  <c r="E41" i="7"/>
  <c r="E39" i="7"/>
  <c r="B7" i="22"/>
  <c r="B8" i="22" s="1"/>
  <c r="L14" i="8"/>
  <c r="E38" i="7"/>
  <c r="E34" i="7"/>
  <c r="C7" i="10"/>
  <c r="F14" i="8"/>
  <c r="C39" i="4"/>
  <c r="E44" i="7"/>
  <c r="H44" i="7" s="1"/>
  <c r="E36" i="7"/>
  <c r="C38" i="4"/>
  <c r="E58" i="7"/>
  <c r="E40" i="7"/>
  <c r="E43" i="7"/>
  <c r="E42" i="7"/>
  <c r="E35" i="7"/>
  <c r="E93" i="7"/>
  <c r="B8" i="4" s="1"/>
  <c r="C26" i="4"/>
  <c r="H30" i="4"/>
  <c r="F29" i="18"/>
  <c r="G29" i="18" s="1"/>
  <c r="F30" i="18"/>
  <c r="G30" i="18" s="1"/>
  <c r="F31" i="18"/>
  <c r="G31" i="18" s="1"/>
  <c r="F32" i="18"/>
  <c r="G32" i="18" s="1"/>
  <c r="F33" i="18"/>
  <c r="G33" i="18" s="1"/>
  <c r="F34" i="18"/>
  <c r="G34" i="18" s="1"/>
  <c r="F35" i="18"/>
  <c r="G35" i="18" s="1"/>
  <c r="F37" i="18"/>
  <c r="G37" i="18" s="1"/>
  <c r="G39" i="18" l="1"/>
  <c r="C60" i="18" s="1"/>
  <c r="C30" i="4"/>
  <c r="H67" i="4"/>
  <c r="C10" i="4"/>
  <c r="I8" i="4"/>
  <c r="H31" i="4"/>
  <c r="F39" i="18"/>
  <c r="B5" i="4" s="1"/>
  <c r="D26" i="4"/>
  <c r="D10" i="4"/>
  <c r="D11" i="4"/>
  <c r="D6" i="4"/>
  <c r="C8" i="4"/>
  <c r="D8" i="4"/>
  <c r="D30" i="4"/>
  <c r="B6" i="21"/>
  <c r="B20" i="21" s="1"/>
  <c r="C5" i="4" l="1"/>
  <c r="I4" i="4"/>
  <c r="D5" i="4"/>
  <c r="D38" i="4"/>
  <c r="B33" i="21"/>
  <c r="B34" i="21" s="1"/>
  <c r="B58" i="21" s="1"/>
  <c r="H20" i="21"/>
  <c r="D39" i="4"/>
  <c r="K20" i="21"/>
  <c r="B9" i="21"/>
  <c r="B74" i="21"/>
  <c r="B10" i="21"/>
  <c r="B71" i="21"/>
  <c r="E20" i="21"/>
  <c r="B25" i="4"/>
  <c r="H63" i="4" s="1"/>
  <c r="E67" i="7" l="1"/>
  <c r="E71" i="7" s="1"/>
  <c r="E72" i="7" s="1"/>
  <c r="B81" i="21"/>
  <c r="B40" i="4" s="1"/>
  <c r="H37" i="4" s="1"/>
  <c r="E57" i="7"/>
  <c r="B23" i="21"/>
  <c r="B37" i="4" s="1"/>
  <c r="C37" i="4" s="1"/>
  <c r="H29" i="4"/>
  <c r="C25" i="4"/>
  <c r="D25" i="4"/>
  <c r="B59" i="21"/>
  <c r="B60" i="21"/>
  <c r="C19" i="7"/>
  <c r="C40" i="4" l="1"/>
  <c r="D40" i="4"/>
  <c r="D37" i="4"/>
  <c r="B61" i="21"/>
  <c r="B36" i="4" s="1"/>
  <c r="B41" i="4" s="1"/>
  <c r="J55" i="12"/>
  <c r="I55" i="12"/>
  <c r="G15" i="16"/>
  <c r="H15" i="16" s="1"/>
  <c r="H13" i="16"/>
  <c r="I13" i="16" s="1"/>
  <c r="J11" i="16"/>
  <c r="H34" i="4" l="1"/>
  <c r="C36" i="4"/>
  <c r="K55" i="12"/>
  <c r="L55" i="12" s="1"/>
  <c r="H49" i="7" s="1"/>
  <c r="D36" i="4"/>
  <c r="C41" i="4"/>
  <c r="D41" i="4"/>
  <c r="C28" i="8" l="1"/>
  <c r="E20" i="8"/>
  <c r="C8" i="8"/>
  <c r="B29" i="11" l="1"/>
  <c r="C29" i="11" s="1"/>
  <c r="D29" i="11" s="1"/>
  <c r="E29" i="11" s="1"/>
  <c r="F29" i="11" s="1"/>
  <c r="G29" i="11" s="1"/>
  <c r="H29" i="11" s="1"/>
  <c r="I29" i="11" s="1"/>
  <c r="J29" i="11" s="1"/>
  <c r="K29" i="11" s="1"/>
  <c r="L29" i="11" s="1"/>
  <c r="M29" i="11" s="1"/>
  <c r="N29" i="11" s="1"/>
  <c r="O29" i="11" s="1"/>
  <c r="P29" i="11" s="1"/>
  <c r="Q29" i="11" s="1"/>
  <c r="R29" i="11" s="1"/>
  <c r="S29" i="11" s="1"/>
  <c r="T29" i="11" s="1"/>
  <c r="U29" i="11" s="1"/>
  <c r="V29" i="11" s="1"/>
  <c r="W29" i="11" s="1"/>
  <c r="X29" i="11" s="1"/>
  <c r="Y29" i="11" s="1"/>
  <c r="Z29" i="11" s="1"/>
  <c r="AA29" i="11" s="1"/>
  <c r="AB29" i="11" s="1"/>
  <c r="AC29" i="11" s="1"/>
  <c r="AD29" i="11" s="1"/>
  <c r="AE29" i="11" s="1"/>
  <c r="C27" i="8"/>
  <c r="C7" i="8"/>
  <c r="C17" i="8" s="1"/>
  <c r="C20" i="8"/>
  <c r="F20" i="8" s="1"/>
  <c r="B30" i="11"/>
  <c r="C30" i="11"/>
  <c r="D30" i="11"/>
  <c r="E30" i="11"/>
  <c r="F30" i="11"/>
  <c r="G30" i="11"/>
  <c r="H30" i="11"/>
  <c r="J30" i="11"/>
  <c r="K30" i="11"/>
  <c r="M30" i="11"/>
  <c r="N30" i="11"/>
  <c r="P30" i="11"/>
  <c r="Q30" i="11"/>
  <c r="R30" i="11"/>
  <c r="S30" i="11"/>
  <c r="U30" i="11"/>
  <c r="V30" i="11"/>
  <c r="X30" i="11"/>
  <c r="Y30" i="11"/>
  <c r="Z30" i="11"/>
  <c r="AA30" i="11"/>
  <c r="AB30" i="11"/>
  <c r="AC30" i="11"/>
  <c r="AD30" i="11"/>
  <c r="I40" i="12"/>
  <c r="J40" i="12"/>
  <c r="I41" i="12"/>
  <c r="J41" i="12"/>
  <c r="I42" i="12"/>
  <c r="J42" i="12"/>
  <c r="I43" i="12"/>
  <c r="J43" i="12"/>
  <c r="I44" i="12"/>
  <c r="J44" i="12"/>
  <c r="B14" i="12"/>
  <c r="C9" i="7"/>
  <c r="E9" i="7"/>
  <c r="C10" i="7"/>
  <c r="E10" i="7"/>
  <c r="C11" i="7"/>
  <c r="E11" i="7"/>
  <c r="C12" i="7"/>
  <c r="E12" i="7"/>
  <c r="C13" i="7"/>
  <c r="E13" i="7"/>
  <c r="C14" i="7"/>
  <c r="E14" i="7"/>
  <c r="C15" i="7"/>
  <c r="E15" i="7"/>
  <c r="C16" i="7"/>
  <c r="E16" i="7"/>
  <c r="C17" i="7"/>
  <c r="E17" i="7"/>
  <c r="C18" i="7"/>
  <c r="E18" i="7"/>
  <c r="B31" i="4"/>
  <c r="B23" i="8"/>
  <c r="E23" i="8" s="1"/>
  <c r="B24" i="8"/>
  <c r="E24" i="8" s="1"/>
  <c r="B22" i="8"/>
  <c r="E22" i="8" s="1"/>
  <c r="B21" i="8"/>
  <c r="E21" i="8" s="1"/>
  <c r="B27" i="11"/>
  <c r="C28" i="11"/>
  <c r="D28" i="11" s="1"/>
  <c r="E28" i="11" s="1"/>
  <c r="F28" i="11" s="1"/>
  <c r="G28" i="11" s="1"/>
  <c r="H28" i="11" s="1"/>
  <c r="I28" i="11" s="1"/>
  <c r="J28" i="11" s="1"/>
  <c r="K28" i="11" s="1"/>
  <c r="L28" i="11" s="1"/>
  <c r="M28" i="11" s="1"/>
  <c r="N28" i="11" s="1"/>
  <c r="O28" i="11" s="1"/>
  <c r="P28" i="11" s="1"/>
  <c r="Q28" i="11" s="1"/>
  <c r="R28" i="11" s="1"/>
  <c r="S28" i="11" s="1"/>
  <c r="T28" i="11" s="1"/>
  <c r="U28" i="11" s="1"/>
  <c r="V28" i="11" s="1"/>
  <c r="W28" i="11" s="1"/>
  <c r="X28" i="11" s="1"/>
  <c r="Y28" i="11" s="1"/>
  <c r="Z28" i="11" s="1"/>
  <c r="AA28" i="11" s="1"/>
  <c r="AB28" i="11" s="1"/>
  <c r="AC28" i="11" s="1"/>
  <c r="AD28" i="11" s="1"/>
  <c r="AE28" i="11" s="1"/>
  <c r="H33" i="4" l="1"/>
  <c r="H68" i="4"/>
  <c r="D26" i="7"/>
  <c r="F26" i="7" s="1"/>
  <c r="G50" i="7" s="1"/>
  <c r="D21" i="7"/>
  <c r="F21" i="7" s="1"/>
  <c r="D27" i="7"/>
  <c r="F27" i="7" s="1"/>
  <c r="G51" i="7" s="1"/>
  <c r="D25" i="7"/>
  <c r="F25" i="7" s="1"/>
  <c r="G49" i="7" s="1"/>
  <c r="D28" i="7"/>
  <c r="F28" i="7" s="1"/>
  <c r="G52" i="7" s="1"/>
  <c r="B29" i="4"/>
  <c r="H66" i="4" s="1"/>
  <c r="B9" i="4"/>
  <c r="I7" i="4" s="1"/>
  <c r="D14" i="7"/>
  <c r="F14" i="7" s="1"/>
  <c r="D23" i="7"/>
  <c r="F23" i="7" s="1"/>
  <c r="D24" i="7"/>
  <c r="D20" i="7"/>
  <c r="F20" i="7" s="1"/>
  <c r="I53" i="7"/>
  <c r="D22" i="7"/>
  <c r="F22" i="7" s="1"/>
  <c r="D31" i="4"/>
  <c r="C31" i="4"/>
  <c r="K43" i="12"/>
  <c r="L43" i="12" s="1"/>
  <c r="H37" i="7" s="1"/>
  <c r="K41" i="12"/>
  <c r="L41" i="12" s="1"/>
  <c r="H35" i="7" s="1"/>
  <c r="D13" i="7"/>
  <c r="F13" i="7" s="1"/>
  <c r="G38" i="7" s="1"/>
  <c r="D15" i="7"/>
  <c r="F15" i="7" s="1"/>
  <c r="G40" i="7" s="1"/>
  <c r="D11" i="7"/>
  <c r="F11" i="7" s="1"/>
  <c r="D16" i="7"/>
  <c r="F16" i="7" s="1"/>
  <c r="D12" i="7"/>
  <c r="F12" i="7" s="1"/>
  <c r="D17" i="7"/>
  <c r="F17" i="7" s="1"/>
  <c r="D19" i="7"/>
  <c r="D9" i="7"/>
  <c r="F9" i="7" s="1"/>
  <c r="D18" i="7"/>
  <c r="F18" i="7" s="1"/>
  <c r="D10" i="7"/>
  <c r="F10" i="7" s="1"/>
  <c r="C31" i="8"/>
  <c r="E95" i="7"/>
  <c r="AE30" i="11"/>
  <c r="I30" i="11"/>
  <c r="T30" i="11"/>
  <c r="L30" i="11"/>
  <c r="W30" i="11"/>
  <c r="O30" i="11"/>
  <c r="K44" i="12"/>
  <c r="L44" i="12" s="1"/>
  <c r="H38" i="7" s="1"/>
  <c r="K42" i="12"/>
  <c r="L42" i="12" s="1"/>
  <c r="H36" i="7" s="1"/>
  <c r="K40" i="12"/>
  <c r="L40" i="12" s="1"/>
  <c r="H34" i="7" s="1"/>
  <c r="H53" i="7" l="1"/>
  <c r="E88" i="7" s="1"/>
  <c r="F24" i="7"/>
  <c r="G48" i="7" s="1"/>
  <c r="D9" i="4"/>
  <c r="C9" i="4"/>
  <c r="G45" i="7"/>
  <c r="G46" i="7"/>
  <c r="G47" i="7"/>
  <c r="F19" i="7"/>
  <c r="G44" i="7" s="1"/>
  <c r="D29" i="4"/>
  <c r="C29" i="4"/>
  <c r="H35" i="4"/>
  <c r="G34" i="7"/>
  <c r="G36" i="7"/>
  <c r="G43" i="7"/>
  <c r="G37" i="7"/>
  <c r="G35" i="7"/>
  <c r="D28" i="8"/>
  <c r="G42" i="7"/>
  <c r="G39" i="7"/>
  <c r="G41" i="7"/>
  <c r="G53" i="7" l="1"/>
  <c r="D27" i="8"/>
  <c r="C30" i="8" s="1"/>
  <c r="AG31" i="11"/>
  <c r="E59" i="7"/>
  <c r="E60" i="7" s="1"/>
  <c r="E61" i="7" s="1"/>
  <c r="E96" i="7"/>
  <c r="E99" i="7" s="1"/>
  <c r="E100" i="7" s="1"/>
  <c r="B27" i="4" l="1"/>
  <c r="B7" i="4"/>
  <c r="E62" i="7"/>
  <c r="E63" i="7" s="1"/>
  <c r="E64" i="7" s="1"/>
  <c r="E90" i="7" s="1"/>
  <c r="B12" i="4" l="1"/>
  <c r="I6" i="4"/>
  <c r="D27" i="4"/>
  <c r="C27" i="4"/>
  <c r="D7" i="4"/>
  <c r="C7" i="4"/>
  <c r="E73" i="7"/>
  <c r="E74" i="7"/>
  <c r="E75" i="7" l="1"/>
  <c r="E76" i="7" s="1"/>
  <c r="E85" i="7" s="1"/>
  <c r="E89" i="7" l="1"/>
  <c r="E91" i="7" s="1"/>
  <c r="B28" i="4"/>
  <c r="H65" i="4" s="1"/>
  <c r="H32" i="4" l="1"/>
  <c r="B32" i="4"/>
  <c r="D12" i="4"/>
  <c r="C12" i="4"/>
  <c r="D28" i="4"/>
  <c r="C28" i="4"/>
  <c r="D32" i="4" l="1"/>
  <c r="C32" i="4"/>
  <c r="B43" i="4"/>
  <c r="B46" i="4" l="1"/>
  <c r="H22" i="4" s="1"/>
  <c r="B47" i="4"/>
  <c r="H23" i="4" s="1"/>
  <c r="C31" i="11"/>
  <c r="B31" i="11" l="1"/>
  <c r="AD31" i="11"/>
  <c r="J31" i="11"/>
  <c r="Y31" i="11"/>
  <c r="Z31" i="11"/>
  <c r="M31" i="11"/>
  <c r="U31" i="11"/>
  <c r="O31" i="11"/>
  <c r="W31" i="11"/>
  <c r="V31" i="11"/>
  <c r="I31" i="11"/>
  <c r="AA31" i="11"/>
  <c r="K31" i="11"/>
  <c r="D31" i="11"/>
  <c r="S31" i="11"/>
  <c r="P31" i="11"/>
  <c r="E31" i="11"/>
  <c r="R31" i="11"/>
  <c r="AB31" i="11"/>
  <c r="Q31" i="11"/>
  <c r="AE31" i="11"/>
  <c r="L31" i="11"/>
  <c r="F31" i="11"/>
  <c r="X31" i="11"/>
  <c r="N31" i="11"/>
  <c r="G31" i="11"/>
  <c r="AC31" i="11"/>
  <c r="H31" i="11"/>
  <c r="T31" i="11"/>
  <c r="AF31" i="11" l="1"/>
</calcChain>
</file>

<file path=xl/comments1.xml><?xml version="1.0" encoding="utf-8"?>
<comments xmlns="http://schemas.openxmlformats.org/spreadsheetml/2006/main">
  <authors>
    <author>Melissa Chin</author>
    <author>Javin Tan</author>
  </authors>
  <commentList>
    <comment ref="B23" authorId="0" shapeId="0">
      <text>
        <r>
          <rPr>
            <sz val="9"/>
            <color indexed="81"/>
            <rFont val="Tahoma"/>
            <family val="2"/>
          </rPr>
          <t>Para pengguna harus memasukkan perkiraan area lahan yang dibersihkan untuk jalan, parit dan komplek mill (termasuk fasilitas perlakuan POME) dibandingkan dengan luas lahan yang ditanami di area konsesi. Berikan data untuk perhitungan tersebut untuk verifikasi. 
Perhatikan bahwa lahan yang dibersihkan untuk sarana kebutuhan sosial  (misal: rumah dinas, sarana rekreasi staf, sekolah, klinik, sarana ibadah, dll.) dikecualikan untuk ini.
**Dalam hal tidak adanya perhitungan yang tepat, RSPO menyarankan penggunaan sebesar 5,5%.</t>
        </r>
      </text>
    </comment>
    <comment ref="G26" authorId="1" shapeId="0">
      <text>
        <r>
          <rPr>
            <sz val="9"/>
            <color indexed="81"/>
            <rFont val="Tahoma"/>
            <family val="2"/>
          </rPr>
          <t xml:space="preserve">= tCO2e/thn (area yang ditanami) + (5,5/100 * tCO2e/thn (area yang ditanami))
</t>
        </r>
      </text>
    </comment>
    <comment ref="G43" authorId="1" shapeId="0">
      <text>
        <r>
          <rPr>
            <sz val="9"/>
            <color indexed="81"/>
            <rFont val="Tahoma"/>
            <family val="2"/>
          </rPr>
          <t xml:space="preserve">= tCO2e/thn (area yang ditanami) + (5,5/100 * tCO2e/thn (area yang ditanami))
</t>
        </r>
      </text>
    </comment>
  </commentList>
</comments>
</file>

<file path=xl/comments2.xml><?xml version="1.0" encoding="utf-8"?>
<comments xmlns="http://schemas.openxmlformats.org/spreadsheetml/2006/main">
  <authors>
    <author>Melissa Chin</author>
  </authors>
  <commentList>
    <comment ref="F7" authorId="0" shapeId="0">
      <text>
        <r>
          <rPr>
            <sz val="9"/>
            <color indexed="81"/>
            <rFont val="Tahoma"/>
            <family val="2"/>
          </rPr>
          <t xml:space="preserve">Tambahkan faktor emisi terkait berdasarkan campuran dan tipe biodiesel </t>
        </r>
      </text>
    </comment>
    <comment ref="F8" authorId="0" shapeId="0">
      <text>
        <r>
          <rPr>
            <sz val="9"/>
            <color indexed="81"/>
            <rFont val="Tahoma"/>
            <family val="2"/>
          </rPr>
          <t>Tambahkan faktor emisi terkait berdasarkan campuran dan tipe bioethanol</t>
        </r>
      </text>
    </comment>
  </commentList>
</comments>
</file>

<file path=xl/comments3.xml><?xml version="1.0" encoding="utf-8"?>
<comments xmlns="http://schemas.openxmlformats.org/spreadsheetml/2006/main">
  <authors>
    <author>CB</author>
  </authors>
  <commentList>
    <comment ref="I13" authorId="0" shapeId="0">
      <text>
        <r>
          <rPr>
            <sz val="8"/>
            <color indexed="81"/>
            <rFont val="Tahoma"/>
            <family val="2"/>
          </rPr>
          <t>PERINGATAN: Anda telah memilih lebih dari satu sumber untuk zat nutrisi ini!</t>
        </r>
      </text>
    </comment>
    <comment ref="I44" authorId="0" shapeId="0">
      <text>
        <r>
          <rPr>
            <sz val="8"/>
            <color indexed="81"/>
            <rFont val="Tahoma"/>
            <family val="2"/>
          </rPr>
          <t>PERINGATAN: Anda telah memilih lebih dari satu sumber untuk zat nutrisi ini!</t>
        </r>
      </text>
    </comment>
    <comment ref="I70" authorId="0" shapeId="0">
      <text>
        <r>
          <rPr>
            <sz val="8"/>
            <color indexed="81"/>
            <rFont val="Tahoma"/>
            <family val="2"/>
          </rPr>
          <t>PERINGATAN: Anda telah memilih lebih dari satu sumber untuk zat nutrisi ini!</t>
        </r>
      </text>
    </comment>
    <comment ref="I96" authorId="0" shapeId="0">
      <text>
        <r>
          <rPr>
            <sz val="8"/>
            <color indexed="81"/>
            <rFont val="Tahoma"/>
            <family val="2"/>
          </rPr>
          <t>PERINGATAN: Anda telah memilih lebih dari satu sumber untuk zat nutrisi ini!</t>
        </r>
      </text>
    </comment>
    <comment ref="I122" authorId="0" shapeId="0">
      <text>
        <r>
          <rPr>
            <sz val="8"/>
            <color indexed="81"/>
            <rFont val="Tahoma"/>
            <family val="2"/>
          </rPr>
          <t>PERINGATAN: Anda telah memilih lebih dari satu sumber untuk zat nutrisi ini!</t>
        </r>
      </text>
    </comment>
    <comment ref="I148" authorId="0" shapeId="0">
      <text>
        <r>
          <rPr>
            <sz val="8"/>
            <color indexed="81"/>
            <rFont val="Tahoma"/>
            <family val="2"/>
          </rPr>
          <t>PERINGATAN: Anda telah memilih lebih dari satu sumber untuk zat nutrisi ini!</t>
        </r>
      </text>
    </comment>
    <comment ref="I174" authorId="0" shapeId="0">
      <text>
        <r>
          <rPr>
            <sz val="8"/>
            <color indexed="81"/>
            <rFont val="Tahoma"/>
            <family val="2"/>
          </rPr>
          <t>PERINGATAN: Anda telah memilih lebih dari satu sumber untuk zat nutrisi ini!</t>
        </r>
      </text>
    </comment>
    <comment ref="I200" authorId="0" shapeId="0">
      <text>
        <r>
          <rPr>
            <sz val="8"/>
            <color indexed="81"/>
            <rFont val="Tahoma"/>
            <family val="2"/>
          </rPr>
          <t>PERINGATAN: Anda telah memilih lebih dari satu sumber untuk zat nutrisi ini!</t>
        </r>
      </text>
    </comment>
    <comment ref="I226" authorId="0" shapeId="0">
      <text>
        <r>
          <rPr>
            <sz val="8"/>
            <color indexed="81"/>
            <rFont val="Tahoma"/>
            <family val="2"/>
          </rPr>
          <t>PERINGATAN: Anda telah memilih lebih dari satu sumber untuk zat nutrisi ini!</t>
        </r>
      </text>
    </comment>
    <comment ref="I252" authorId="0" shapeId="0">
      <text>
        <r>
          <rPr>
            <sz val="8"/>
            <color indexed="81"/>
            <rFont val="Tahoma"/>
            <family val="2"/>
          </rPr>
          <t>PERINGATAN: Anda telah memilih lebih dari satu sumber untuk zat nutrisi ini!</t>
        </r>
      </text>
    </comment>
  </commentList>
</comments>
</file>

<file path=xl/comments4.xml><?xml version="1.0" encoding="utf-8"?>
<comments xmlns="http://schemas.openxmlformats.org/spreadsheetml/2006/main">
  <authors>
    <author xml:space="preserve"> lchase</author>
  </authors>
  <commentList>
    <comment ref="B8" authorId="0" shapeId="0">
      <text>
        <r>
          <rPr>
            <b/>
            <sz val="8"/>
            <color indexed="81"/>
            <rFont val="Tahoma"/>
            <family val="2"/>
          </rPr>
          <t>Jarak untuk pengangkutan jalur laut dapat diperoleh dari referensi 19</t>
        </r>
      </text>
    </comment>
  </commentList>
</comments>
</file>

<file path=xl/comments5.xml><?xml version="1.0" encoding="utf-8"?>
<comments xmlns="http://schemas.openxmlformats.org/spreadsheetml/2006/main">
  <authors>
    <author>LDCChase</author>
    <author>Melissa Chin</author>
  </authors>
  <commentList>
    <comment ref="A14" authorId="0" shapeId="0">
      <text>
        <r>
          <rPr>
            <b/>
            <sz val="9"/>
            <color indexed="81"/>
            <rFont val="Tahoma"/>
            <family val="2"/>
          </rPr>
          <t>Bahan bakar mencakup petrol dan diesel, tetapi karena konsumsi petrol  merupakan emisi disel kecil yang digunakan kedua jenis bahan bakar</t>
        </r>
      </text>
    </comment>
    <comment ref="D14" authorId="0" shapeId="0">
      <text>
        <r>
          <rPr>
            <b/>
            <sz val="9"/>
            <color indexed="81"/>
            <rFont val="Tahoma"/>
            <family val="2"/>
          </rPr>
          <t>Bahan bakar mencakup petrol dan diesel, tetapi karena konsumsi petrol  merupakan emisi disel kecil yang digunakan kedua jenis bahan bakar</t>
        </r>
      </text>
    </comment>
    <comment ref="A15" authorId="0" shapeId="0">
      <text>
        <r>
          <rPr>
            <b/>
            <sz val="9"/>
            <color indexed="81"/>
            <rFont val="Tahoma"/>
            <family val="2"/>
          </rPr>
          <t>Bahan bakar mencakup petrol dan diesel, tetapi karena konsumsi petrol  merupakan emisi disel kecil yang digunakan kedua jenis bahan bakar</t>
        </r>
      </text>
    </comment>
    <comment ref="D15" authorId="0" shapeId="0">
      <text>
        <r>
          <rPr>
            <b/>
            <sz val="9"/>
            <color indexed="81"/>
            <rFont val="Tahoma"/>
            <family val="2"/>
          </rPr>
          <t>Bahan bakar mencakup petrol dan diesel, tetapi karena konsumsi petrol  merupakan emisi disel kecil yang digunakan kedua jenis bahan bakar</t>
        </r>
      </text>
    </comment>
    <comment ref="B40" authorId="0" shapeId="0">
      <text>
        <r>
          <rPr>
            <b/>
            <sz val="9"/>
            <color indexed="81"/>
            <rFont val="Tahoma"/>
            <family val="2"/>
          </rPr>
          <t>Pesan WARNING  artinya bahwa jumlah persentase tidak bertambah hingga 100</t>
        </r>
        <r>
          <rPr>
            <sz val="9"/>
            <color indexed="81"/>
            <rFont val="Tahoma"/>
            <family val="2"/>
          </rPr>
          <t xml:space="preserve">
</t>
        </r>
      </text>
    </comment>
    <comment ref="B79" authorId="1" shapeId="0">
      <text>
        <r>
          <rPr>
            <b/>
            <sz val="9"/>
            <color indexed="81"/>
            <rFont val="Tahoma"/>
            <family val="2"/>
          </rPr>
          <t>Pesan WARNING  artinya bahwa jumlah persentase tidak bertambah hingga 100</t>
        </r>
      </text>
    </comment>
  </commentList>
</comments>
</file>

<file path=xl/comments6.xml><?xml version="1.0" encoding="utf-8"?>
<comments xmlns="http://schemas.openxmlformats.org/spreadsheetml/2006/main">
  <authors>
    <author>Laurence</author>
    <author xml:space="preserve"> </author>
    <author>Melissa Chin</author>
    <author xml:space="preserve"> lchase</author>
    <author>LDCChase</author>
  </authors>
  <commentList>
    <comment ref="B6" authorId="0" shapeId="0">
      <text>
        <r>
          <rPr>
            <b/>
            <sz val="10"/>
            <color indexed="81"/>
            <rFont val="Tahoma"/>
            <family val="2"/>
          </rPr>
          <t>Ref 2</t>
        </r>
      </text>
    </comment>
    <comment ref="B7" authorId="1" shapeId="0">
      <text>
        <r>
          <rPr>
            <b/>
            <sz val="10"/>
            <color indexed="81"/>
            <rFont val="Tahoma"/>
            <family val="2"/>
          </rPr>
          <t xml:space="preserve"> Ref  2
</t>
        </r>
      </text>
    </comment>
    <comment ref="B8" authorId="2" shapeId="0">
      <text>
        <r>
          <rPr>
            <b/>
            <sz val="9"/>
            <color indexed="81"/>
            <rFont val="Tahoma"/>
            <family val="2"/>
          </rPr>
          <t>Ref 2</t>
        </r>
      </text>
    </comment>
    <comment ref="B9" authorId="1" shapeId="0">
      <text>
        <r>
          <rPr>
            <b/>
            <sz val="10"/>
            <color indexed="81"/>
            <rFont val="Tahoma"/>
            <family val="2"/>
          </rPr>
          <t>Ref 3</t>
        </r>
      </text>
    </comment>
    <comment ref="B10" authorId="1" shapeId="0">
      <text>
        <r>
          <rPr>
            <b/>
            <sz val="10"/>
            <color indexed="81"/>
            <rFont val="Tahoma"/>
            <family val="2"/>
          </rPr>
          <t>Ref 4</t>
        </r>
      </text>
    </comment>
    <comment ref="B11" authorId="1" shapeId="0">
      <text>
        <r>
          <rPr>
            <b/>
            <sz val="10"/>
            <color indexed="81"/>
            <rFont val="Tahoma"/>
            <family val="2"/>
          </rPr>
          <t>Ref 4</t>
        </r>
      </text>
    </comment>
    <comment ref="B12" authorId="1" shapeId="0">
      <text>
        <r>
          <rPr>
            <b/>
            <sz val="10"/>
            <color indexed="81"/>
            <rFont val="Tahoma"/>
            <family val="2"/>
          </rPr>
          <t>Ref 4</t>
        </r>
      </text>
    </comment>
    <comment ref="B13" authorId="3" shapeId="0">
      <text>
        <r>
          <rPr>
            <b/>
            <sz val="8"/>
            <color indexed="81"/>
            <rFont val="Tahoma"/>
            <family val="2"/>
          </rPr>
          <t>Ref 4</t>
        </r>
      </text>
    </comment>
    <comment ref="A14" authorId="1" shapeId="0">
      <text>
        <r>
          <rPr>
            <b/>
            <sz val="10"/>
            <color indexed="81"/>
            <rFont val="Tahoma"/>
            <family val="2"/>
          </rPr>
          <t>Mengasumsikan 2 l solar/km dengan beban 20 t/pulang-pergi (Ref 1)</t>
        </r>
      </text>
    </comment>
    <comment ref="B19" authorId="1" shapeId="0">
      <text>
        <r>
          <rPr>
            <b/>
            <sz val="8"/>
            <color indexed="81"/>
            <rFont val="Tahoma"/>
            <family val="2"/>
          </rPr>
          <t xml:space="preserve"> </t>
        </r>
        <r>
          <rPr>
            <b/>
            <sz val="10"/>
            <color indexed="81"/>
            <rFont val="Tahoma"/>
            <family val="2"/>
          </rPr>
          <t>Ref 5</t>
        </r>
      </text>
    </comment>
    <comment ref="G19" authorId="4" shapeId="0">
      <text>
        <r>
          <rPr>
            <b/>
            <sz val="8"/>
            <color indexed="81"/>
            <rFont val="Calibri"/>
            <family val="2"/>
            <scheme val="minor"/>
          </rPr>
          <t>Nilai mean 62 dengan CV=26%, diambil dari Database LUC yang direvisi pada tanggal 18-9-2012, I. E. Henson pers comm
Hutan alam dengan kanopi rapat; tidak ada tanda-tanda jalan penebangan</t>
        </r>
      </text>
    </comment>
    <comment ref="B20" authorId="1" shapeId="0">
      <text>
        <r>
          <rPr>
            <b/>
            <sz val="8"/>
            <color indexed="81"/>
            <rFont val="Tahoma"/>
            <family val="2"/>
          </rPr>
          <t>Ref 5</t>
        </r>
      </text>
    </comment>
    <comment ref="G20" authorId="1" shapeId="0">
      <text>
        <r>
          <rPr>
            <b/>
            <sz val="8"/>
            <color indexed="81"/>
            <rFont val="Tahoma"/>
            <family val="2"/>
          </rPr>
          <t>Ref 25, Area hutan alam dengan jalan penebangan dan pembersihan hutan.</t>
        </r>
      </text>
    </comment>
    <comment ref="B21" authorId="1" shapeId="0">
      <text>
        <r>
          <rPr>
            <b/>
            <sz val="10"/>
            <color indexed="81"/>
            <rFont val="Tahoma"/>
            <family val="2"/>
          </rPr>
          <t>Ref 1</t>
        </r>
      </text>
    </comment>
    <comment ref="G21" authorId="1" shapeId="0">
      <text>
        <r>
          <rPr>
            <b/>
            <sz val="8"/>
            <color indexed="81"/>
            <rFont val="Tahoma"/>
            <family val="2"/>
          </rPr>
          <t>Ref 17
Adanya tanaman pendek dan semak-semak</t>
        </r>
      </text>
    </comment>
    <comment ref="B22" authorId="1" shapeId="0">
      <text>
        <r>
          <rPr>
            <b/>
            <sz val="10"/>
            <color indexed="81"/>
            <rFont val="Tahoma"/>
            <family val="2"/>
          </rPr>
          <t>Ref 6</t>
        </r>
      </text>
    </comment>
    <comment ref="G22" authorId="1" shapeId="0">
      <text>
        <r>
          <rPr>
            <b/>
            <sz val="8"/>
            <color indexed="81"/>
            <rFont val="Tahoma"/>
            <family val="2"/>
          </rPr>
          <t>Ref 9, Didominasi oleh rerumputan</t>
        </r>
      </text>
    </comment>
    <comment ref="B23" authorId="1" shapeId="0">
      <text>
        <r>
          <rPr>
            <b/>
            <sz val="8"/>
            <color indexed="81"/>
            <rFont val="Tahoma"/>
            <family val="2"/>
          </rPr>
          <t xml:space="preserve"> </t>
        </r>
        <r>
          <rPr>
            <b/>
            <sz val="10"/>
            <color indexed="81"/>
            <rFont val="Tahoma"/>
            <family val="2"/>
          </rPr>
          <t>Ref 12</t>
        </r>
      </text>
    </comment>
    <comment ref="G23" authorId="3" shapeId="0">
      <text>
        <r>
          <rPr>
            <b/>
            <sz val="8"/>
            <color indexed="81"/>
            <rFont val="Tahoma"/>
            <family val="2"/>
          </rPr>
          <t>Ref 17, 81, 27, 28 &amp; 29
Ini meliputi tanaman seperti karet, kelapa, kakao tumpang sari, pohon akasia mangium dan sistem pertanian-hutan.</t>
        </r>
      </text>
    </comment>
    <comment ref="B24" authorId="1" shapeId="0">
      <text>
        <r>
          <rPr>
            <b/>
            <sz val="10"/>
            <color indexed="81"/>
            <rFont val="Tahoma"/>
            <family val="2"/>
          </rPr>
          <t>Ref 12</t>
        </r>
      </text>
    </comment>
    <comment ref="G24" authorId="3" shapeId="0">
      <text>
        <r>
          <rPr>
            <b/>
            <sz val="8"/>
            <color indexed="81"/>
            <rFont val="Tahoma"/>
            <family val="2"/>
          </rPr>
          <t>Ref 21 Rata-rata tanaman musiman (5.0) dan tahunan (12.0) di PNG
Area terbuka, biasanya secara intensif dikelola untuk tanaman musiman baris musiman seperti jagung, nanas, singkong, pisang, dan padi.</t>
        </r>
      </text>
    </comment>
    <comment ref="B25" authorId="1" shapeId="0">
      <text>
        <r>
          <rPr>
            <b/>
            <sz val="10"/>
            <color indexed="81"/>
            <rFont val="Tahoma"/>
            <family val="2"/>
          </rPr>
          <t>Ref 13</t>
        </r>
      </text>
    </comment>
    <comment ref="B26" authorId="1" shapeId="0">
      <text>
        <r>
          <rPr>
            <b/>
            <sz val="10"/>
            <color indexed="81"/>
            <rFont val="Tahoma"/>
            <family val="2"/>
          </rPr>
          <t>Ref 12</t>
        </r>
      </text>
    </comment>
    <comment ref="B27" authorId="1" shapeId="0">
      <text>
        <r>
          <rPr>
            <b/>
            <sz val="10"/>
            <color indexed="81"/>
            <rFont val="Tahoma"/>
            <family val="2"/>
          </rPr>
          <t>Ref 12</t>
        </r>
      </text>
    </comment>
    <comment ref="B28" authorId="1" shapeId="0">
      <text>
        <r>
          <rPr>
            <b/>
            <sz val="10"/>
            <color indexed="81"/>
            <rFont val="Tahoma"/>
            <family val="2"/>
          </rPr>
          <t xml:space="preserve">Diambil dari Ref 2 (diasumsikan sama seperti gas alam EU-mix)
</t>
        </r>
      </text>
    </comment>
    <comment ref="B29" authorId="3" shapeId="0">
      <text>
        <r>
          <rPr>
            <b/>
            <sz val="8"/>
            <color indexed="81"/>
            <rFont val="Tahoma"/>
            <family val="2"/>
          </rPr>
          <t>Ref 20</t>
        </r>
      </text>
    </comment>
    <comment ref="B30" authorId="1" shapeId="0">
      <text>
        <r>
          <rPr>
            <b/>
            <sz val="10"/>
            <color indexed="81"/>
            <rFont val="Tahoma"/>
            <family val="2"/>
          </rPr>
          <t>Ref 14. Rata-rata untuk Indonesia dan Malaysia</t>
        </r>
      </text>
    </comment>
    <comment ref="B31" authorId="4" shapeId="0">
      <text>
        <r>
          <rPr>
            <b/>
            <sz val="9"/>
            <color indexed="81"/>
            <rFont val="Tahoma"/>
            <family val="2"/>
          </rPr>
          <t xml:space="preserve">Ref 30
</t>
        </r>
      </text>
    </comment>
    <comment ref="B32" authorId="4" shapeId="0">
      <text>
        <r>
          <rPr>
            <b/>
            <sz val="9"/>
            <color indexed="81"/>
            <rFont val="Tahoma"/>
            <family val="2"/>
          </rPr>
          <t>Ref 30</t>
        </r>
      </text>
    </comment>
    <comment ref="B33" authorId="4" shapeId="0">
      <text>
        <r>
          <rPr>
            <b/>
            <sz val="9"/>
            <color indexed="81"/>
            <rFont val="Tahoma"/>
            <family val="2"/>
          </rPr>
          <t>Ref 30</t>
        </r>
      </text>
    </comment>
    <comment ref="B34" authorId="4" shapeId="0">
      <text>
        <r>
          <rPr>
            <b/>
            <sz val="9"/>
            <color indexed="81"/>
            <rFont val="Tahoma"/>
            <family val="2"/>
          </rPr>
          <t>Ref 1</t>
        </r>
      </text>
    </comment>
    <comment ref="B35" authorId="4" shapeId="0">
      <text>
        <r>
          <rPr>
            <b/>
            <sz val="9"/>
            <color indexed="81"/>
            <rFont val="Tahoma"/>
            <family val="2"/>
          </rPr>
          <t>Ref 31</t>
        </r>
      </text>
    </comment>
    <comment ref="B36" authorId="4" shapeId="0">
      <text>
        <r>
          <rPr>
            <b/>
            <sz val="9"/>
            <color indexed="81"/>
            <rFont val="Tahoma"/>
            <family val="2"/>
          </rPr>
          <t>Ref 31</t>
        </r>
      </text>
    </comment>
    <comment ref="B37" authorId="4" shapeId="0">
      <text>
        <r>
          <rPr>
            <b/>
            <sz val="9"/>
            <color indexed="81"/>
            <rFont val="Tahoma"/>
            <family val="2"/>
          </rPr>
          <t>Ref 31</t>
        </r>
      </text>
    </comment>
    <comment ref="F40" authorId="3" shapeId="0">
      <text>
        <r>
          <rPr>
            <b/>
            <sz val="8"/>
            <color indexed="81"/>
            <rFont val="Tahoma"/>
            <family val="2"/>
          </rPr>
          <t>Diambil dari Ref 8 (diasumsikan sama dengan SOA)</t>
        </r>
      </text>
    </comment>
    <comment ref="G40" authorId="1" shapeId="0">
      <text>
        <r>
          <rPr>
            <b/>
            <sz val="10"/>
            <color indexed="81"/>
            <rFont val="Tahoma"/>
            <family val="2"/>
          </rPr>
          <t>Ref 7</t>
        </r>
      </text>
    </comment>
    <comment ref="F41" authorId="3" shapeId="0">
      <text>
        <r>
          <rPr>
            <b/>
            <sz val="8"/>
            <color indexed="81"/>
            <rFont val="Tahoma"/>
            <family val="2"/>
          </rPr>
          <t>Diambil dari Ref 8</t>
        </r>
        <r>
          <rPr>
            <sz val="8"/>
            <color indexed="81"/>
            <rFont val="Tahoma"/>
            <family val="2"/>
          </rPr>
          <t xml:space="preserve">
</t>
        </r>
      </text>
    </comment>
    <comment ref="G41" authorId="1" shapeId="0">
      <text>
        <r>
          <rPr>
            <b/>
            <sz val="10"/>
            <color indexed="81"/>
            <rFont val="Tahoma"/>
            <family val="2"/>
          </rPr>
          <t>Ref 7</t>
        </r>
        <r>
          <rPr>
            <b/>
            <sz val="8"/>
            <color indexed="81"/>
            <rFont val="Tahoma"/>
            <family val="2"/>
          </rPr>
          <t xml:space="preserve">
</t>
        </r>
      </text>
    </comment>
    <comment ref="F42" authorId="3" shapeId="0">
      <text>
        <r>
          <rPr>
            <b/>
            <sz val="8"/>
            <color indexed="81"/>
            <rFont val="Tahoma"/>
            <family val="2"/>
          </rPr>
          <t>Diambil dari Ref 8 (diasumsikan sama dengan SOA)</t>
        </r>
        <r>
          <rPr>
            <sz val="8"/>
            <color indexed="81"/>
            <rFont val="Tahoma"/>
            <family val="2"/>
          </rPr>
          <t xml:space="preserve">
</t>
        </r>
      </text>
    </comment>
    <comment ref="G42" authorId="1" shapeId="0">
      <text>
        <r>
          <rPr>
            <b/>
            <sz val="10"/>
            <color indexed="81"/>
            <rFont val="Tahoma"/>
            <family val="2"/>
          </rPr>
          <t>Ref 7</t>
        </r>
      </text>
    </comment>
    <comment ref="F43" authorId="3" shapeId="0">
      <text>
        <r>
          <rPr>
            <b/>
            <sz val="11"/>
            <color indexed="81"/>
            <rFont val="Calibri"/>
            <family val="2"/>
            <scheme val="minor"/>
          </rPr>
          <t>Diambil dari Ref 8</t>
        </r>
        <r>
          <rPr>
            <sz val="8"/>
            <color indexed="81"/>
            <rFont val="Tahoma"/>
            <family val="2"/>
          </rPr>
          <t xml:space="preserve">
</t>
        </r>
      </text>
    </comment>
    <comment ref="G43" authorId="1" shapeId="0">
      <text>
        <r>
          <rPr>
            <b/>
            <sz val="10"/>
            <color indexed="81"/>
            <rFont val="Tahoma"/>
            <family val="2"/>
          </rPr>
          <t>Ref 7</t>
        </r>
      </text>
    </comment>
    <comment ref="F44" authorId="4" shapeId="0">
      <text>
        <r>
          <rPr>
            <b/>
            <sz val="9"/>
            <color indexed="81"/>
            <rFont val="Tahoma"/>
            <family val="2"/>
          </rPr>
          <t>Diambil dari Ref 8 (diasumsikan sama dengan SOA)</t>
        </r>
      </text>
    </comment>
    <comment ref="G44" authorId="4" shapeId="0">
      <text>
        <r>
          <rPr>
            <b/>
            <sz val="9"/>
            <color indexed="81"/>
            <rFont val="Tahoma"/>
            <family val="2"/>
          </rPr>
          <t>Ref 22</t>
        </r>
      </text>
    </comment>
    <comment ref="G45" authorId="1" shapeId="0">
      <text>
        <r>
          <rPr>
            <b/>
            <sz val="10"/>
            <color indexed="81"/>
            <rFont val="Tahoma"/>
            <family val="2"/>
          </rPr>
          <t>Ref 7 (diasumsikan sama dengan MOP)</t>
        </r>
      </text>
    </comment>
    <comment ref="G46" authorId="1" shapeId="0">
      <text>
        <r>
          <rPr>
            <b/>
            <sz val="10"/>
            <color indexed="81"/>
            <rFont val="Tahoma"/>
            <family val="2"/>
          </rPr>
          <t>Ref 7</t>
        </r>
      </text>
    </comment>
    <comment ref="G47" authorId="1" shapeId="0">
      <text>
        <r>
          <rPr>
            <b/>
            <sz val="10"/>
            <color indexed="81"/>
            <rFont val="Tahoma"/>
            <family val="2"/>
          </rPr>
          <t>Ref 7</t>
        </r>
      </text>
    </comment>
    <comment ref="G48" authorId="3" shapeId="0">
      <text>
        <r>
          <rPr>
            <b/>
            <sz val="10"/>
            <color indexed="81"/>
            <rFont val="Tahoma"/>
            <family val="2"/>
          </rPr>
          <t>Ref 7</t>
        </r>
      </text>
    </comment>
    <comment ref="G49" authorId="3" shapeId="0">
      <text>
        <r>
          <rPr>
            <b/>
            <sz val="10"/>
            <color indexed="81"/>
            <rFont val="Tahoma"/>
            <family val="2"/>
          </rPr>
          <t>Ref 1 (diambil dari ref 7)</t>
        </r>
      </text>
    </comment>
    <comment ref="B60" authorId="1" shapeId="0">
      <text>
        <r>
          <rPr>
            <b/>
            <sz val="10"/>
            <color indexed="81"/>
            <rFont val="Tahoma"/>
            <family val="2"/>
          </rPr>
          <t>Ref 6</t>
        </r>
      </text>
    </comment>
    <comment ref="F60" authorId="3" shapeId="0">
      <text>
        <r>
          <rPr>
            <b/>
            <sz val="8"/>
            <color indexed="81"/>
            <rFont val="Tahoma"/>
            <family val="2"/>
          </rPr>
          <t>Ref 4, meskipun kemungkinan terlalu tinggi karena default memasukkan pupuk organik dan kotoran hewan</t>
        </r>
      </text>
    </comment>
    <comment ref="B61" authorId="1" shapeId="0">
      <text>
        <r>
          <rPr>
            <b/>
            <sz val="10"/>
            <color indexed="81"/>
            <rFont val="Tahoma"/>
            <family val="2"/>
          </rPr>
          <t>Ref 6</t>
        </r>
      </text>
    </comment>
    <comment ref="F61" authorId="3" shapeId="0">
      <text>
        <r>
          <rPr>
            <b/>
            <sz val="8"/>
            <color indexed="81"/>
            <rFont val="Tahoma"/>
            <family val="2"/>
          </rPr>
          <t>Ref 4, meskipun kemungkinan terlalu tinggi karena default memasukkan pupuk organik dan kotoran hewan</t>
        </r>
      </text>
    </comment>
    <comment ref="B62" authorId="1" shapeId="0">
      <text>
        <r>
          <rPr>
            <b/>
            <sz val="10"/>
            <color indexed="81"/>
            <rFont val="Tahoma"/>
            <family val="2"/>
          </rPr>
          <t>Ref 4</t>
        </r>
      </text>
    </comment>
  </commentList>
</comments>
</file>

<file path=xl/sharedStrings.xml><?xml version="1.0" encoding="utf-8"?>
<sst xmlns="http://schemas.openxmlformats.org/spreadsheetml/2006/main" count="1142" uniqueCount="481">
  <si>
    <t>Crop rotation length yrs</t>
  </si>
  <si>
    <t>Total</t>
  </si>
  <si>
    <t>SOA</t>
  </si>
  <si>
    <t>Urea</t>
  </si>
  <si>
    <t>GRP</t>
  </si>
  <si>
    <t>MOP</t>
  </si>
  <si>
    <t>AN</t>
  </si>
  <si>
    <t>DAP</t>
  </si>
  <si>
    <t>EFB</t>
  </si>
  <si>
    <t>N2O</t>
  </si>
  <si>
    <t>POME</t>
  </si>
  <si>
    <t>Mill</t>
  </si>
  <si>
    <t>%N</t>
  </si>
  <si>
    <t>tPOME/tFFB</t>
  </si>
  <si>
    <t>kgCH4/tPOME</t>
  </si>
  <si>
    <t>tEFB/tFFB</t>
  </si>
  <si>
    <t>Chase L.D.C and Henson I.E. (2010) A detailed greenhouse gas budget for palm oil production. International Journal for Agricultural Sustainability 8 (3) 199-214.</t>
  </si>
  <si>
    <t>IPCC (2007). Fourth Assessment Report. Climate Change 2007 - Synthesis Report. WMO/UNEP. http://www.ipcc.ch/ipccreports/ar4-syr.htm.</t>
  </si>
  <si>
    <t>IPCC (2006). Guidelines for National Greenhouse Gas Inventories. Vol 4 Agriculture, Forestry and Other Land Use. WMO/UNEP. http://www.ipcc-nggip.iges.or.jp/public/2006gl/index.html.</t>
  </si>
  <si>
    <t>Yacob S., Mohd. Hassan A., Shirai Y., Wakisaka M. and Subash S. (2006). Baseline study of methane emission from anaerobic ponds of palm oil mill effluent treatment. Science of the Total Environment, 366, 187-196</t>
  </si>
  <si>
    <t>Gurmit S. (1995). Management and utilisation of oil palm by-products. The Planter, 71, 361-386.</t>
  </si>
  <si>
    <t>Jensson T.K. and Kongshaug G. (2003). Energy consumption and greenhouse gas emissions in fertiliser production. Proceedings No 509, International Fertiliser Society, York, UK 28pp.</t>
  </si>
  <si>
    <t>Henson I.E. (2009). Modelling carbon sequestration and greenhouse gas emissions associated with oil palm cultivation and land-use change in Malaysia. A re-evaluation and a computer model. MPOB Technology, 31, 116 pp.</t>
  </si>
  <si>
    <t>ha peat</t>
  </si>
  <si>
    <t>oer</t>
  </si>
  <si>
    <t>ker</t>
  </si>
  <si>
    <t>CPO</t>
  </si>
  <si>
    <t>PK</t>
  </si>
  <si>
    <t>GHG</t>
  </si>
  <si>
    <t>GWP</t>
  </si>
  <si>
    <t>FFB</t>
  </si>
  <si>
    <t>Kieserite</t>
  </si>
  <si>
    <t>Outgrowers</t>
  </si>
  <si>
    <t>Schmidt J.H. (2007) Life cycle assessment of rapeseed oil and palm oil Part 3 275 pp. PhD Thesis. Denmark: Aalborg University.</t>
  </si>
  <si>
    <t>Environment Agency (2002) Guidance on Landfill Gas Flaring. Bristol: Environment Agency.</t>
  </si>
  <si>
    <t>Calendar year</t>
  </si>
  <si>
    <t>RSPO</t>
  </si>
  <si>
    <t>Round Table on Sustainable Palm Oil</t>
  </si>
  <si>
    <t>H&amp;C</t>
  </si>
  <si>
    <t>RFA (2008) Carbon and Sustainability Reporting Within the Renewable Transport Fuel Obligation. Technical Guidance Part 2 Carbon Reporting – Default Values and Fuel Chains. London: Renewable Fuels Agency. http://www.renewablefuelsagency.org/_db/_documents/RFA_C&amp;S_Technical_Guidance_Part_2_v1_200809194658.pdf</t>
  </si>
  <si>
    <t>TSP</t>
  </si>
  <si>
    <t>GML</t>
  </si>
  <si>
    <r>
      <t>GWP of CH</t>
    </r>
    <r>
      <rPr>
        <vertAlign val="subscript"/>
        <sz val="11"/>
        <color indexed="8"/>
        <rFont val="Calibri"/>
        <family val="2"/>
      </rPr>
      <t>4</t>
    </r>
    <r>
      <rPr>
        <sz val="11"/>
        <color indexed="8"/>
        <rFont val="Calibri"/>
        <family val="2"/>
      </rPr>
      <t xml:space="preserve"> kgCO</t>
    </r>
    <r>
      <rPr>
        <vertAlign val="subscript"/>
        <sz val="11"/>
        <color indexed="8"/>
        <rFont val="Calibri"/>
        <family val="2"/>
      </rPr>
      <t>2</t>
    </r>
    <r>
      <rPr>
        <sz val="11"/>
        <color indexed="8"/>
        <rFont val="Calibri"/>
        <family val="2"/>
      </rPr>
      <t>e/kg CH</t>
    </r>
    <r>
      <rPr>
        <vertAlign val="subscript"/>
        <sz val="11"/>
        <color indexed="8"/>
        <rFont val="Calibri"/>
        <family val="2"/>
      </rPr>
      <t>4</t>
    </r>
  </si>
  <si>
    <r>
      <t>CH</t>
    </r>
    <r>
      <rPr>
        <vertAlign val="subscript"/>
        <sz val="11"/>
        <color indexed="8"/>
        <rFont val="Calibri"/>
        <family val="2"/>
      </rPr>
      <t xml:space="preserve">4 </t>
    </r>
    <r>
      <rPr>
        <sz val="11"/>
        <color indexed="8"/>
        <rFont val="Calibri"/>
        <family val="2"/>
      </rPr>
      <t>t/yr (total)</t>
    </r>
  </si>
  <si>
    <r>
      <t>kgCO</t>
    </r>
    <r>
      <rPr>
        <vertAlign val="subscript"/>
        <sz val="11"/>
        <color indexed="8"/>
        <rFont val="Calibri"/>
        <family val="2"/>
      </rPr>
      <t>2</t>
    </r>
    <r>
      <rPr>
        <sz val="11"/>
        <color indexed="8"/>
        <rFont val="Calibri"/>
        <family val="2"/>
      </rPr>
      <t>e/t</t>
    </r>
  </si>
  <si>
    <r>
      <t>kgCO</t>
    </r>
    <r>
      <rPr>
        <vertAlign val="subscript"/>
        <sz val="11"/>
        <color indexed="8"/>
        <rFont val="Calibri"/>
        <family val="2"/>
      </rPr>
      <t>2</t>
    </r>
    <r>
      <rPr>
        <sz val="11"/>
        <color theme="1"/>
        <rFont val="Calibri"/>
        <family val="2"/>
        <scheme val="minor"/>
      </rPr>
      <t>e/t</t>
    </r>
  </si>
  <si>
    <r>
      <t>Fertiliser tCO</t>
    </r>
    <r>
      <rPr>
        <vertAlign val="subscript"/>
        <sz val="11"/>
        <color indexed="8"/>
        <rFont val="Calibri"/>
        <family val="2"/>
      </rPr>
      <t>2</t>
    </r>
    <r>
      <rPr>
        <sz val="11"/>
        <color indexed="8"/>
        <rFont val="Calibri"/>
        <family val="2"/>
      </rPr>
      <t>e/ha</t>
    </r>
  </si>
  <si>
    <r>
      <t>EFB tCO</t>
    </r>
    <r>
      <rPr>
        <vertAlign val="subscript"/>
        <sz val="11"/>
        <color indexed="8"/>
        <rFont val="Calibri"/>
        <family val="2"/>
      </rPr>
      <t>2</t>
    </r>
    <r>
      <rPr>
        <sz val="11"/>
        <color indexed="8"/>
        <rFont val="Calibri"/>
        <family val="2"/>
      </rPr>
      <t>e/ha</t>
    </r>
  </si>
  <si>
    <r>
      <t>POME tCO</t>
    </r>
    <r>
      <rPr>
        <vertAlign val="subscript"/>
        <sz val="11"/>
        <color indexed="8"/>
        <rFont val="Calibri"/>
        <family val="2"/>
      </rPr>
      <t>2</t>
    </r>
    <r>
      <rPr>
        <sz val="11"/>
        <color indexed="8"/>
        <rFont val="Calibri"/>
        <family val="2"/>
      </rPr>
      <t>e/ha</t>
    </r>
  </si>
  <si>
    <r>
      <t>Total N</t>
    </r>
    <r>
      <rPr>
        <vertAlign val="subscript"/>
        <sz val="11"/>
        <color indexed="8"/>
        <rFont val="Calibri"/>
        <family val="2"/>
      </rPr>
      <t>2</t>
    </r>
    <r>
      <rPr>
        <sz val="11"/>
        <color indexed="8"/>
        <rFont val="Calibri"/>
        <family val="2"/>
      </rPr>
      <t>O tCO2e/ha</t>
    </r>
  </si>
  <si>
    <r>
      <t>CO</t>
    </r>
    <r>
      <rPr>
        <b/>
        <vertAlign val="subscript"/>
        <sz val="11"/>
        <rFont val="Calibri"/>
        <family val="2"/>
      </rPr>
      <t>2</t>
    </r>
    <r>
      <rPr>
        <b/>
        <sz val="11"/>
        <rFont val="Calibri"/>
        <family val="2"/>
      </rPr>
      <t>e</t>
    </r>
  </si>
  <si>
    <t>Planting year</t>
  </si>
  <si>
    <r>
      <t>Total tCO</t>
    </r>
    <r>
      <rPr>
        <vertAlign val="subscript"/>
        <sz val="11"/>
        <color indexed="8"/>
        <rFont val="Calibri"/>
        <family val="2"/>
      </rPr>
      <t>2</t>
    </r>
    <r>
      <rPr>
        <sz val="11"/>
        <color indexed="8"/>
        <rFont val="Calibri"/>
        <family val="2"/>
      </rPr>
      <t>e/ha</t>
    </r>
  </si>
  <si>
    <t>%MgO</t>
  </si>
  <si>
    <t>%K2O</t>
  </si>
  <si>
    <t>%P2O5</t>
  </si>
  <si>
    <r>
      <t>Total tCO</t>
    </r>
    <r>
      <rPr>
        <vertAlign val="subscript"/>
        <sz val="11"/>
        <color indexed="8"/>
        <rFont val="Calibri"/>
        <family val="2"/>
      </rPr>
      <t>2</t>
    </r>
  </si>
  <si>
    <r>
      <t>tCO</t>
    </r>
    <r>
      <rPr>
        <vertAlign val="subscript"/>
        <sz val="11"/>
        <color indexed="8"/>
        <rFont val="Calibri"/>
        <family val="2"/>
      </rPr>
      <t>2</t>
    </r>
    <r>
      <rPr>
        <sz val="11"/>
        <color indexed="8"/>
        <rFont val="Calibri"/>
        <family val="2"/>
      </rPr>
      <t>/ha</t>
    </r>
  </si>
  <si>
    <r>
      <t>Emissions from peat tCO</t>
    </r>
    <r>
      <rPr>
        <vertAlign val="subscript"/>
        <sz val="11"/>
        <color indexed="8"/>
        <rFont val="Calibri"/>
        <family val="2"/>
      </rPr>
      <t>2</t>
    </r>
    <r>
      <rPr>
        <sz val="11"/>
        <color indexed="8"/>
        <rFont val="Calibri"/>
        <family val="2"/>
      </rPr>
      <t>/planting year</t>
    </r>
  </si>
  <si>
    <t>MacDicken K.G.(1997) A Guide to monitoring carbon storage in Forestry and Agroforestry projects. Winrock International Institute for International Development.</t>
  </si>
  <si>
    <t>Winrock (2010). N Harris, pers com. MODIS data 2000 to 2007</t>
  </si>
  <si>
    <t>Lasco R D, Sales R F, Estrella R, Saplaco S R, Castillo L S A, Cruz R V O and Pulhin F B. (2001). Carbon stocks assessment of two agroforestry systems in the Makiling Forest Reserve, Philippines. Philippine Agricultural Scientist, 84, 401-407.</t>
  </si>
  <si>
    <t>http://www.searates.com</t>
  </si>
  <si>
    <t>Mila i Canals L (2011) pers comm</t>
  </si>
  <si>
    <t>PKO</t>
  </si>
  <si>
    <t>PKE</t>
  </si>
  <si>
    <t>seq</t>
  </si>
  <si>
    <t>JEC (2011). Well-to-wheels analysis of future automotive fuels and powertrains in the European context. Well-to-tank Report Version 3c, Appendix 1 and 2. CONCAWE, EUCAR and JRC. http://ies.jrc.ec.europa.eu/WTW.</t>
  </si>
  <si>
    <r>
      <t>kgCH</t>
    </r>
    <r>
      <rPr>
        <vertAlign val="subscript"/>
        <sz val="11"/>
        <color theme="1"/>
        <rFont val="Calibri"/>
        <family val="2"/>
        <scheme val="minor"/>
      </rPr>
      <t>4</t>
    </r>
    <r>
      <rPr>
        <sz val="11"/>
        <color theme="1"/>
        <rFont val="Calibri"/>
        <family val="2"/>
        <scheme val="minor"/>
      </rPr>
      <t>/tPOME</t>
    </r>
  </si>
  <si>
    <t xml:space="preserve">Caliman J.P., Carcasses R., Girardin P., Pujianto, Dubos B., and Liwang T. (2005) Development of agro-environmental indicators for sustainable management of oil palm growing: general concept and example of nitrogen. In: Proceedings of PIPOC 2005 International Palm Oil Congress, Agriculture, Biotechnology and Sustainability Conference, 413-432. Kuala Lumpur: Malaysian Palm Oil Board.   </t>
  </si>
  <si>
    <r>
      <t>N</t>
    </r>
    <r>
      <rPr>
        <vertAlign val="subscript"/>
        <sz val="11"/>
        <color theme="1"/>
        <rFont val="Calibri"/>
        <family val="2"/>
        <scheme val="minor"/>
      </rPr>
      <t>2</t>
    </r>
    <r>
      <rPr>
        <sz val="11"/>
        <color theme="1"/>
        <rFont val="Calibri"/>
        <family val="2"/>
        <scheme val="minor"/>
      </rPr>
      <t>O</t>
    </r>
  </si>
  <si>
    <r>
      <t>Diesel kg CO</t>
    </r>
    <r>
      <rPr>
        <vertAlign val="subscript"/>
        <sz val="11"/>
        <rFont val="Calibri"/>
        <family val="2"/>
        <scheme val="minor"/>
      </rPr>
      <t>2</t>
    </r>
    <r>
      <rPr>
        <sz val="11"/>
        <rFont val="Calibri"/>
        <family val="2"/>
        <scheme val="minor"/>
      </rPr>
      <t>e/l</t>
    </r>
  </si>
  <si>
    <t>http://www.biograce.net/</t>
  </si>
  <si>
    <t>European Union Commission (2009). Directive 2009/28/EC Draft Annex V. Draft Commission Decision (of 31 December 2009) on guidelines for the calculation of land carbon stocks for the purpose of Annex V of Directive 2009/28/EC. European Commission, Brussels. 26 p.</t>
  </si>
  <si>
    <t>AC</t>
  </si>
  <si>
    <r>
      <t>Total tCO</t>
    </r>
    <r>
      <rPr>
        <vertAlign val="subscript"/>
        <sz val="11"/>
        <color indexed="8"/>
        <rFont val="Calibri"/>
        <family val="2"/>
      </rPr>
      <t>2</t>
    </r>
    <r>
      <rPr>
        <sz val="11"/>
        <color indexed="8"/>
        <rFont val="Calibri"/>
        <family val="2"/>
      </rPr>
      <t>e/yr</t>
    </r>
  </si>
  <si>
    <t>tCO2e</t>
  </si>
  <si>
    <t>Swiss Centre for Life Cycle Inventories (2010). Ecoinvent 2.2</t>
  </si>
  <si>
    <t>Hooijer A., S. Page, J. G. Canadell, M. Silvius, J. Kwadijk, H. Wosten, J. Jauhiainen (2010) Current and future CO2 emissions from drained peatlands in Southeast Asia. Biogeosciences Discuss., 7, 1505-1514</t>
  </si>
  <si>
    <t>RSPO PLWG (in press). Environmental and social impacts of oil palm cultivation on tropical peat – a scientific review. Final Version, May 2012.</t>
  </si>
  <si>
    <t>Page S.E, Morrison R, Malins C, Hooijer A, Rieley J.O., Jauhiainen J (2011) . Review of peat surface greenhouse gas emissions from oil palm plantations in Southeast Asia (ICCT white paper 15). Washington: International Council on Clean Transportation.</t>
  </si>
  <si>
    <t>Mokany, K., Raison, R.J., Prokushkin, A.S. (2005), Critical analysis of root:shoot ratios in terrestrial biomes.  Global Change Biology 12: 84-96.</t>
  </si>
  <si>
    <t>Yew F K (2000). Impact of zero burning on biomass and nutrient turnover in rubber replanting. Paper presented at International Symposium on Sustainable Land Management. Sri Kembangan, Selangor, Malaysia.</t>
  </si>
  <si>
    <t>Yew F K and Mohd Nasaruddin (2002). Biomass and carbon sequestration determinations in rubber. Methodologies and case studies. Seminar on Climate Change and Carbon Accounting. Department of Standards, Malaysia and SIRIM Sdn Bhd, Shah Alam, Malaysia. 13 pp.</t>
  </si>
  <si>
    <t>Henson I.E. (2005a) OPRODSIM, a versatile, mechanistic simulation model of oil palm dry matter production and yield. In: Proceedings of PIPOC 2005 International Palm Oil Congress, Agriculture, Biotechnology and Sustainability Conference, 801-832. Kuala Lumpur: Malaysian Palm Oil Board.</t>
  </si>
  <si>
    <t>FW</t>
  </si>
  <si>
    <t>Pang J (2013) pers comm</t>
  </si>
  <si>
    <t>http://cdm.unfccc.int/methodologies/DB/4ND00PCGC7WXR3L0LOJTS6SVZP4NSU</t>
  </si>
  <si>
    <t>COD</t>
  </si>
  <si>
    <r>
      <t>Petrol kg CO</t>
    </r>
    <r>
      <rPr>
        <vertAlign val="subscript"/>
        <sz val="11"/>
        <rFont val="Calibri"/>
        <family val="2"/>
        <scheme val="minor"/>
      </rPr>
      <t>2</t>
    </r>
    <r>
      <rPr>
        <sz val="11"/>
        <rFont val="Calibri"/>
        <family val="2"/>
        <scheme val="minor"/>
      </rPr>
      <t>e/l</t>
    </r>
  </si>
  <si>
    <t xml:space="preserve">Diesel </t>
  </si>
  <si>
    <t>Petrol</t>
  </si>
  <si>
    <t xml:space="preserve">Total diesel </t>
  </si>
  <si>
    <t xml:space="preserve">Total petrol </t>
  </si>
  <si>
    <t>l/ha</t>
  </si>
  <si>
    <t>Diesel</t>
  </si>
  <si>
    <t>Outgrower consumption</t>
  </si>
  <si>
    <t xml:space="preserve">Agus, F., Henson, I.E., Sahardjo, B.H., Harris, N., van Noordwijk, M.&amp; Killeen, T.J. 2013a. Review of emission factors for assessment of CO2 emission from land use change to oil palm in Southeast Asia. In T.J. Killen &amp; J. Goon (eds). Reports from the Technical Panels of the Second RSPO GHG Working Groupp, Roundtable on Sustainable Palm Oil - RSPO, Kuala Lumpur. Increased by 20% to allow for root biomass as per Mokany, K., Raison, R.J., Prokushkin, A.S. (2005), Critical analysis of root: shoot ratios in terrestrial biomes. Global Change Biology 12: 84096. </t>
  </si>
  <si>
    <t>% S</t>
  </si>
  <si>
    <t>kgCO2eq/kg</t>
  </si>
  <si>
    <t>tC/ha</t>
  </si>
  <si>
    <r>
      <t>Biodiesel kg CO</t>
    </r>
    <r>
      <rPr>
        <vertAlign val="subscript"/>
        <sz val="11"/>
        <rFont val="Calibri"/>
        <family val="2"/>
        <scheme val="minor"/>
      </rPr>
      <t>2</t>
    </r>
    <r>
      <rPr>
        <sz val="11"/>
        <rFont val="Calibri"/>
        <family val="2"/>
        <scheme val="minor"/>
      </rPr>
      <t>e/l</t>
    </r>
  </si>
  <si>
    <r>
      <t>Bioethanol kg CO</t>
    </r>
    <r>
      <rPr>
        <vertAlign val="subscript"/>
        <sz val="11"/>
        <rFont val="Calibri"/>
        <family val="2"/>
        <scheme val="minor"/>
      </rPr>
      <t>2</t>
    </r>
    <r>
      <rPr>
        <sz val="11"/>
        <rFont val="Calibri"/>
        <family val="2"/>
        <scheme val="minor"/>
      </rPr>
      <t>e/l</t>
    </r>
  </si>
  <si>
    <t>Biodiesel</t>
  </si>
  <si>
    <t>Bioethanol</t>
  </si>
  <si>
    <t>t/ha</t>
  </si>
  <si>
    <r>
      <t>CO</t>
    </r>
    <r>
      <rPr>
        <vertAlign val="subscript"/>
        <sz val="11"/>
        <color theme="1"/>
        <rFont val="Calibri"/>
        <family val="2"/>
        <scheme val="minor"/>
      </rPr>
      <t>2</t>
    </r>
  </si>
  <si>
    <r>
      <t>tCO</t>
    </r>
    <r>
      <rPr>
        <vertAlign val="subscript"/>
        <sz val="11"/>
        <color indexed="8"/>
        <rFont val="Calibri"/>
        <family val="2"/>
      </rPr>
      <t>2</t>
    </r>
    <r>
      <rPr>
        <sz val="11"/>
        <color theme="1"/>
        <rFont val="Calibri"/>
        <family val="2"/>
        <scheme val="minor"/>
      </rPr>
      <t>e/ha</t>
    </r>
  </si>
  <si>
    <t>OER%</t>
  </si>
  <si>
    <t>KER%</t>
  </si>
  <si>
    <r>
      <t>tCO</t>
    </r>
    <r>
      <rPr>
        <b/>
        <vertAlign val="subscript"/>
        <sz val="11"/>
        <color theme="1"/>
        <rFont val="Calibri"/>
        <family val="2"/>
        <scheme val="minor"/>
      </rPr>
      <t>2</t>
    </r>
    <r>
      <rPr>
        <b/>
        <sz val="11"/>
        <color theme="1"/>
        <rFont val="Calibri"/>
        <family val="2"/>
        <scheme val="minor"/>
      </rPr>
      <t>e/ha</t>
    </r>
  </si>
  <si>
    <r>
      <t>Total tCO</t>
    </r>
    <r>
      <rPr>
        <b/>
        <vertAlign val="subscript"/>
        <sz val="11"/>
        <color theme="1"/>
        <rFont val="Calibri"/>
        <family val="2"/>
        <scheme val="minor"/>
      </rPr>
      <t>2</t>
    </r>
    <r>
      <rPr>
        <b/>
        <sz val="11"/>
        <color theme="1"/>
        <rFont val="Calibri"/>
        <family val="2"/>
        <scheme val="minor"/>
      </rPr>
      <t>e</t>
    </r>
  </si>
  <si>
    <r>
      <t>t CO</t>
    </r>
    <r>
      <rPr>
        <vertAlign val="subscript"/>
        <sz val="11"/>
        <color theme="1"/>
        <rFont val="Calibri"/>
        <family val="2"/>
        <scheme val="minor"/>
      </rPr>
      <t>2</t>
    </r>
    <r>
      <rPr>
        <sz val="11"/>
        <color theme="1"/>
        <rFont val="Calibri"/>
        <family val="2"/>
        <scheme val="minor"/>
      </rPr>
      <t>e</t>
    </r>
  </si>
  <si>
    <r>
      <t>t CO</t>
    </r>
    <r>
      <rPr>
        <vertAlign val="subscript"/>
        <sz val="11"/>
        <color theme="1"/>
        <rFont val="Calibri"/>
        <family val="2"/>
        <scheme val="minor"/>
      </rPr>
      <t>2</t>
    </r>
    <r>
      <rPr>
        <sz val="11"/>
        <color theme="1"/>
        <rFont val="Calibri"/>
        <family val="2"/>
        <scheme val="minor"/>
      </rPr>
      <t>e/ha</t>
    </r>
  </si>
  <si>
    <r>
      <t>t CO</t>
    </r>
    <r>
      <rPr>
        <vertAlign val="subscript"/>
        <sz val="11"/>
        <color theme="1"/>
        <rFont val="Calibri"/>
        <family val="2"/>
        <scheme val="minor"/>
      </rPr>
      <t>2</t>
    </r>
    <r>
      <rPr>
        <sz val="11"/>
        <color theme="1"/>
        <rFont val="Calibri"/>
        <family val="2"/>
        <scheme val="minor"/>
      </rPr>
      <t>e/t FFB</t>
    </r>
  </si>
  <si>
    <r>
      <t>tCO</t>
    </r>
    <r>
      <rPr>
        <vertAlign val="subscript"/>
        <sz val="11"/>
        <rFont val="Calibri"/>
        <family val="2"/>
        <scheme val="minor"/>
      </rPr>
      <t>2</t>
    </r>
    <r>
      <rPr>
        <sz val="11"/>
        <rFont val="Calibri"/>
        <family val="2"/>
        <scheme val="minor"/>
      </rPr>
      <t>e</t>
    </r>
  </si>
  <si>
    <r>
      <t>tCO</t>
    </r>
    <r>
      <rPr>
        <vertAlign val="subscript"/>
        <sz val="11"/>
        <color theme="1"/>
        <rFont val="Calibri"/>
        <family val="2"/>
        <scheme val="minor"/>
      </rPr>
      <t>2</t>
    </r>
    <r>
      <rPr>
        <sz val="11"/>
        <color theme="1"/>
        <rFont val="Calibri"/>
        <family val="2"/>
        <scheme val="minor"/>
      </rPr>
      <t>e/tFFB</t>
    </r>
  </si>
  <si>
    <t xml:space="preserve">Total </t>
  </si>
  <si>
    <r>
      <t>t CO</t>
    </r>
    <r>
      <rPr>
        <vertAlign val="subscript"/>
        <sz val="11"/>
        <color theme="1"/>
        <rFont val="Calibri"/>
        <family val="2"/>
        <scheme val="minor"/>
      </rPr>
      <t>2</t>
    </r>
    <r>
      <rPr>
        <sz val="11"/>
        <color theme="1"/>
        <rFont val="Calibri"/>
        <family val="2"/>
        <scheme val="minor"/>
      </rPr>
      <t>e/t CPO</t>
    </r>
  </si>
  <si>
    <r>
      <t>t CO</t>
    </r>
    <r>
      <rPr>
        <vertAlign val="subscript"/>
        <sz val="11"/>
        <color theme="1"/>
        <rFont val="Calibri"/>
        <family val="2"/>
        <scheme val="minor"/>
      </rPr>
      <t>2</t>
    </r>
    <r>
      <rPr>
        <sz val="11"/>
        <color theme="1"/>
        <rFont val="Calibri"/>
        <family val="2"/>
        <scheme val="minor"/>
      </rPr>
      <t>e/t PK</t>
    </r>
  </si>
  <si>
    <t>Country</t>
  </si>
  <si>
    <t>Bolivia</t>
  </si>
  <si>
    <t>Brazil</t>
  </si>
  <si>
    <t>Cambodia</t>
  </si>
  <si>
    <t>Cameroon</t>
  </si>
  <si>
    <t>Colombia</t>
  </si>
  <si>
    <t>Congo</t>
  </si>
  <si>
    <t>Costa Rica</t>
  </si>
  <si>
    <t>Côte d'Ivoire</t>
  </si>
  <si>
    <t>Ecuador</t>
  </si>
  <si>
    <t>Gabon</t>
  </si>
  <si>
    <t>Ghana</t>
  </si>
  <si>
    <t>Guatemala</t>
  </si>
  <si>
    <t>Honduras</t>
  </si>
  <si>
    <t>India</t>
  </si>
  <si>
    <t>Indonesia</t>
  </si>
  <si>
    <t>Malaysia</t>
  </si>
  <si>
    <t>Nigeria</t>
  </si>
  <si>
    <t>Peru</t>
  </si>
  <si>
    <t>Thailand</t>
  </si>
  <si>
    <t>Emissions (kgCO2e/kWh)</t>
  </si>
  <si>
    <t xml:space="preserve">  </t>
  </si>
  <si>
    <r>
      <t xml:space="preserve">Henson I. E. (2005b). An assessment of changes in biomass carbon stocks in tree crops and forests in Malaysia. </t>
    </r>
    <r>
      <rPr>
        <i/>
        <sz val="11"/>
        <color theme="1"/>
        <rFont val="Calibri"/>
        <family val="2"/>
        <scheme val="minor"/>
      </rPr>
      <t>J. Tropical Forest Science, 17</t>
    </r>
    <r>
      <rPr>
        <sz val="11"/>
        <color theme="1"/>
        <rFont val="Calibri"/>
        <family val="2"/>
        <scheme val="minor"/>
      </rPr>
      <t>: 279-296.</t>
    </r>
  </si>
  <si>
    <r>
      <t xml:space="preserve">Petunjuk:  Apabila pengembangan baru Anda tidak mencakup operasi mill (paberik). Anda tidak perlu memasukan data dalam lembaran ini. Lembaran ini memuat proyeksi data mill, menghitung CPO dan produksi PK  (t/yr), dan memperkirakan produksi metana dari POME dan pemakaian bahan bakar di dalam mill. </t>
    </r>
    <r>
      <rPr>
        <i/>
        <sz val="11"/>
        <rFont val="Calibri"/>
        <family val="2"/>
      </rPr>
      <t xml:space="preserve">Ketentuan dibuat untuk menangkap metana yang diperuntukan untuk penyalaan atau pembangkitan listrik, untuk impor listrik grid, ekspor EFB dan shell sebagai sumber energi, untuk ekspor listrik surplus yang dibangkitkan. </t>
    </r>
  </si>
  <si>
    <t xml:space="preserve"> Data Mill</t>
  </si>
  <si>
    <t xml:space="preserve">CPO dan Produksi PK </t>
  </si>
  <si>
    <t>Perkiraan hasil lewatan  tFFB/yr</t>
  </si>
  <si>
    <t>Perkiraan OER%</t>
  </si>
  <si>
    <t>Perkiraan KER%</t>
  </si>
  <si>
    <t>Perkiraan produksi CPO tCPO/yr</t>
  </si>
  <si>
    <t>Perkiraan produksi PK  tPK/yr</t>
  </si>
  <si>
    <t>Konsumsi Bahan Bakar Mill</t>
  </si>
  <si>
    <t xml:space="preserve">Asumsi emis bahan bakar </t>
  </si>
  <si>
    <t xml:space="preserve">Proyeksi konsumsi bahan bakar setiap tahun </t>
  </si>
  <si>
    <t>Konsumsi l/tFFB pemrosesan</t>
  </si>
  <si>
    <t>Konsumsi l/yr</t>
  </si>
  <si>
    <t xml:space="preserve">Emisi dari bahan bakar  mill </t>
  </si>
  <si>
    <t>Emisi dari  POME</t>
  </si>
  <si>
    <t xml:space="preserve">Asumsi Default </t>
  </si>
  <si>
    <t xml:space="preserve">Produksi POME </t>
  </si>
  <si>
    <t>Kuantitas  POME yang dihasilkan  t/yr</t>
  </si>
  <si>
    <t xml:space="preserve">Asumsi pengelolaan POME </t>
  </si>
  <si>
    <t>% POME dialihkan menjadi kolam anaerobik  (konvensional)</t>
  </si>
  <si>
    <t>% POME dialihkan menjadi tangkapan metana  (penyalaan)</t>
  </si>
  <si>
    <t xml:space="preserve">% POME dialihkan menjadi tangkapan metana  (pembangkit tenaga listrik) </t>
  </si>
  <si>
    <t xml:space="preserve">Konversi metana listrik </t>
  </si>
  <si>
    <r>
      <t>CH</t>
    </r>
    <r>
      <rPr>
        <vertAlign val="subscript"/>
        <sz val="11"/>
        <rFont val="Calibri"/>
        <family val="2"/>
      </rPr>
      <t>4</t>
    </r>
    <r>
      <rPr>
        <sz val="11"/>
        <rFont val="Calibri"/>
        <family val="2"/>
      </rPr>
      <t xml:space="preserve"> hilang dari digesti  %</t>
    </r>
  </si>
  <si>
    <r>
      <t>CH</t>
    </r>
    <r>
      <rPr>
        <vertAlign val="subscript"/>
        <sz val="11"/>
        <rFont val="Calibri"/>
        <family val="2"/>
      </rPr>
      <t>4</t>
    </r>
    <r>
      <rPr>
        <sz val="11"/>
        <rFont val="Calibri"/>
        <family val="2"/>
      </rPr>
      <t xml:space="preserve"> dari digesti dialihkan menjadi menyala  %</t>
    </r>
  </si>
  <si>
    <r>
      <t>CH</t>
    </r>
    <r>
      <rPr>
        <vertAlign val="subscript"/>
        <sz val="11"/>
        <rFont val="Calibri"/>
        <family val="2"/>
      </rPr>
      <t>4</t>
    </r>
    <r>
      <rPr>
        <sz val="11"/>
        <rFont val="Calibri"/>
        <family val="2"/>
      </rPr>
      <t xml:space="preserve"> hilang dalam penyalaan  %</t>
    </r>
  </si>
  <si>
    <r>
      <t>CH</t>
    </r>
    <r>
      <rPr>
        <vertAlign val="subscript"/>
        <sz val="11"/>
        <rFont val="Calibri"/>
        <family val="2"/>
      </rPr>
      <t>4</t>
    </r>
    <r>
      <rPr>
        <sz val="11"/>
        <rFont val="Calibri"/>
        <family val="2"/>
      </rPr>
      <t xml:space="preserve"> dialihkan menjadi energi %</t>
    </r>
  </si>
  <si>
    <r>
      <t>CH</t>
    </r>
    <r>
      <rPr>
        <vertAlign val="subscript"/>
        <sz val="11"/>
        <rFont val="Calibri"/>
        <family val="2"/>
      </rPr>
      <t>4 I</t>
    </r>
    <r>
      <rPr>
        <sz val="11"/>
        <rFont val="Calibri"/>
        <family val="2"/>
      </rPr>
      <t>hilang di dalam motor gas  %</t>
    </r>
  </si>
  <si>
    <t>Total CH4 yang hilang pada atmosfir  %</t>
  </si>
  <si>
    <t>Efisiensi motor gas  %</t>
  </si>
  <si>
    <r>
      <t>CH</t>
    </r>
    <r>
      <rPr>
        <vertAlign val="subscript"/>
        <sz val="11"/>
        <rFont val="Calibri"/>
        <family val="2"/>
      </rPr>
      <t xml:space="preserve">4 </t>
    </r>
    <r>
      <rPr>
        <sz val="11"/>
        <rFont val="Calibri"/>
        <family val="2"/>
      </rPr>
      <t>dikonversikan menjadi listrik  %</t>
    </r>
  </si>
  <si>
    <r>
      <t>Nilai Panas Rendah LHV MJ/kg CH</t>
    </r>
    <r>
      <rPr>
        <vertAlign val="subscript"/>
        <sz val="11"/>
        <rFont val="Calibri"/>
        <family val="2"/>
      </rPr>
      <t>4</t>
    </r>
  </si>
  <si>
    <r>
      <t>Co-efisien emisi listrik kg CO</t>
    </r>
    <r>
      <rPr>
        <vertAlign val="subscript"/>
        <sz val="11"/>
        <rFont val="Calibri"/>
        <family val="2"/>
      </rPr>
      <t>2</t>
    </r>
    <r>
      <rPr>
        <sz val="11"/>
        <rFont val="Calibri"/>
        <family val="2"/>
      </rPr>
      <t>e/MJ</t>
    </r>
  </si>
  <si>
    <t xml:space="preserve">Penyalaan metana </t>
  </si>
  <si>
    <r>
      <t>CH</t>
    </r>
    <r>
      <rPr>
        <vertAlign val="subscript"/>
        <sz val="11"/>
        <rFont val="Calibri"/>
        <family val="2"/>
      </rPr>
      <t>4</t>
    </r>
    <r>
      <rPr>
        <sz val="11"/>
        <rFont val="Calibri"/>
        <family val="2"/>
      </rPr>
      <t xml:space="preserve"> hilang di dalam penyalaan api  %</t>
    </r>
  </si>
  <si>
    <r>
      <t>CH</t>
    </r>
    <r>
      <rPr>
        <vertAlign val="subscript"/>
        <sz val="11"/>
        <rFont val="Calibri"/>
        <family val="2"/>
      </rPr>
      <t xml:space="preserve">4 </t>
    </r>
    <r>
      <rPr>
        <sz val="11"/>
        <rFont val="Calibri"/>
        <family val="2"/>
      </rPr>
      <t>hilang menjadi atmosfir %</t>
    </r>
  </si>
  <si>
    <t>Emisi metana tCO2e</t>
  </si>
  <si>
    <t>kolam anaerobik  (konvensional)</t>
  </si>
  <si>
    <t>tangkapan metana (penyalaan)</t>
  </si>
  <si>
    <t>tangkapan metana  (pembangkitan listrik)</t>
  </si>
  <si>
    <r>
      <t>Jumlah CH</t>
    </r>
    <r>
      <rPr>
        <vertAlign val="subscript"/>
        <sz val="11"/>
        <rFont val="Calibri"/>
        <family val="2"/>
      </rPr>
      <t>4</t>
    </r>
    <r>
      <rPr>
        <sz val="11"/>
        <rFont val="Calibri"/>
        <family val="2"/>
      </rPr>
      <t xml:space="preserve"> emisi tCO</t>
    </r>
    <r>
      <rPr>
        <vertAlign val="subscript"/>
        <sz val="11"/>
        <rFont val="Calibri"/>
        <family val="2"/>
      </rPr>
      <t>2</t>
    </r>
    <r>
      <rPr>
        <sz val="11"/>
        <rFont val="Calibri"/>
        <family val="2"/>
      </rPr>
      <t>e</t>
    </r>
  </si>
  <si>
    <t>Listrik</t>
  </si>
  <si>
    <r>
      <t>Ko-efisien emisi listrik, kg CO</t>
    </r>
    <r>
      <rPr>
        <vertAlign val="subscript"/>
        <sz val="11"/>
        <rFont val="Calibri"/>
        <family val="2"/>
        <scheme val="minor"/>
      </rPr>
      <t>2</t>
    </r>
    <r>
      <rPr>
        <sz val="11"/>
        <rFont val="Calibri"/>
        <family val="2"/>
        <scheme val="minor"/>
      </rPr>
      <t>e/kWh</t>
    </r>
  </si>
  <si>
    <t>Pemanfaatan listrik grid , kWh/yr</t>
  </si>
  <si>
    <t>Kelebihan listrik yang diekspor ke rumah pekerja/grid, kWh/yr</t>
  </si>
  <si>
    <r>
      <t>Emisi dari listrik grid yang digunakan , tCO</t>
    </r>
    <r>
      <rPr>
        <vertAlign val="subscript"/>
        <sz val="11"/>
        <rFont val="Calibri"/>
        <family val="2"/>
        <scheme val="minor"/>
      </rPr>
      <t>2</t>
    </r>
    <r>
      <rPr>
        <sz val="11"/>
        <rFont val="Calibri"/>
        <family val="2"/>
        <scheme val="minor"/>
      </rPr>
      <t>e/yr</t>
    </r>
  </si>
  <si>
    <r>
      <t>Kredit dari kelebihan listrik yang diekspor, tCO</t>
    </r>
    <r>
      <rPr>
        <vertAlign val="subscript"/>
        <sz val="11"/>
        <rFont val="Calibri"/>
        <family val="2"/>
        <scheme val="minor"/>
      </rPr>
      <t>2</t>
    </r>
    <r>
      <rPr>
        <sz val="11"/>
        <rFont val="Calibri"/>
        <family val="2"/>
        <scheme val="minor"/>
      </rPr>
      <t>e/yr</t>
    </r>
  </si>
  <si>
    <t xml:space="preserve">Ekspor biomas untuk produksi energi </t>
  </si>
  <si>
    <t>Perkiraan produksi PKS t/yr</t>
  </si>
  <si>
    <t>Penjualan kelebihan PKS untuk produksi energi  t/yr</t>
  </si>
  <si>
    <t xml:space="preserve">Kredit dari penjualan PKS tCO2e/yr </t>
  </si>
  <si>
    <t>EFB yang diproduksi  t/yr</t>
  </si>
  <si>
    <t xml:space="preserve">% EFB yang dijual untuk pembangkitan listrik </t>
  </si>
  <si>
    <t xml:space="preserve">% EFB yang digunakan langsung di lapangan </t>
  </si>
  <si>
    <t xml:space="preserve">% EFB dikonversikan menjadi kompos  </t>
  </si>
  <si>
    <t>% EFB untuk penggunaan lainnya  (misalnya pembakaran dalam boiler (ketel uap)</t>
  </si>
  <si>
    <t>Produksi energi  MJ/t EFB</t>
  </si>
  <si>
    <t xml:space="preserve">Kredit dari penjualan  EFB tCO2e/yr </t>
  </si>
  <si>
    <t xml:space="preserve">Faktor yang berasal dari  "Emisi GHG dari pembelian listrik" lembar kerja oleh Protokol GHG  (terakhir diperbaharui pada tanggal May 2015). Sumber informasi lembar kerja ini berasal dari faktor emisi  IEA selama tahun 2012. </t>
  </si>
  <si>
    <t xml:space="preserve">Catatan: Harap pilih nilai yang layak dari tabel sesuai dengan negaranya. Pengguna juga dapat menggunakan nilai sendiri apabila nilai tersebut lebih layak.  Harap berikan rujukannya </t>
  </si>
  <si>
    <t>Daftar Pustaka</t>
  </si>
  <si>
    <t>Pendahuluan</t>
  </si>
  <si>
    <t>Singkatan-singkatan</t>
  </si>
  <si>
    <t>Amonium Klorida</t>
  </si>
  <si>
    <t>Amonium Nitrat</t>
  </si>
  <si>
    <t>Kebutuhan oksigen kimia</t>
  </si>
  <si>
    <t>Minyak sawit mentah</t>
  </si>
  <si>
    <t>Diammonium fosfat</t>
  </si>
  <si>
    <t>Tandan buah kosong</t>
  </si>
  <si>
    <t>Tandan buah segar</t>
  </si>
  <si>
    <t>Bobot segar</t>
  </si>
  <si>
    <t>Gas rumah kaca</t>
  </si>
  <si>
    <t>Ground magnesium limestone (Kapur pertanian)</t>
  </si>
  <si>
    <t>Ground rock phosphate (fosfat alam)</t>
  </si>
  <si>
    <t>Potensi pemanasan global</t>
  </si>
  <si>
    <t>Pemanenan dan pengumpulan</t>
  </si>
  <si>
    <t>Tingkat ekstraksi biji</t>
  </si>
  <si>
    <t>Muriate of potash (KCL merah)</t>
  </si>
  <si>
    <t>Tingkat ekstraksi minyak</t>
  </si>
  <si>
    <t>Biji sawit</t>
  </si>
  <si>
    <t>Minyak biji sawit</t>
  </si>
  <si>
    <t>Bungkil biji sawit</t>
  </si>
  <si>
    <t>Limbah penggilingan minyak sawit</t>
  </si>
  <si>
    <t>Amonium sulfat</t>
  </si>
  <si>
    <t xml:space="preserve">PETUNJUK PENGGUNAAN KALKULATOR GHG PENGEMBANGAN TERBARU </t>
  </si>
  <si>
    <t>Penyerapan karbon</t>
  </si>
  <si>
    <t>Ringkasan hasil</t>
  </si>
  <si>
    <t>Pembersihan lahan</t>
  </si>
  <si>
    <t>Penyerapan karbon oleh tanaman</t>
  </si>
  <si>
    <t>Pupuk</t>
  </si>
  <si>
    <t>Lahan gambut</t>
  </si>
  <si>
    <t>Kredit konservasi</t>
  </si>
  <si>
    <t>Ringkasan (dengan mill)</t>
  </si>
  <si>
    <t>Produk</t>
  </si>
  <si>
    <r>
      <t>tCO</t>
    </r>
    <r>
      <rPr>
        <vertAlign val="subscript"/>
        <sz val="11"/>
        <color theme="1"/>
        <rFont val="Calibri"/>
        <family val="2"/>
        <scheme val="minor"/>
      </rPr>
      <t>2</t>
    </r>
    <r>
      <rPr>
        <sz val="11"/>
        <color theme="1"/>
        <rFont val="Calibri"/>
        <family val="2"/>
        <scheme val="minor"/>
      </rPr>
      <t>e/t produk</t>
    </r>
  </si>
  <si>
    <t xml:space="preserve">Emisi dan kredit Mill </t>
  </si>
  <si>
    <t>Bahan bakar mill</t>
  </si>
  <si>
    <t>Listrik yang dibeli</t>
  </si>
  <si>
    <t>Kredit (kelebihan listrik yang dikeluarkan)</t>
  </si>
  <si>
    <t>Alokasi:</t>
  </si>
  <si>
    <t>1. Emisi Perubahan Penggunaan Lahan</t>
  </si>
  <si>
    <t>Jenis tutupan lahan sebelumnya</t>
  </si>
  <si>
    <t>Hutan tidak terganggu</t>
  </si>
  <si>
    <t>Hutan terganggu</t>
  </si>
  <si>
    <t>Semak belukar</t>
  </si>
  <si>
    <t>Rerumputan</t>
  </si>
  <si>
    <t>Pepohonan</t>
  </si>
  <si>
    <t>Tanaman musiman/pangan</t>
  </si>
  <si>
    <t>Karet</t>
  </si>
  <si>
    <t>Karet muda</t>
  </si>
  <si>
    <t>Akasia</t>
  </si>
  <si>
    <t>Eukaliptus</t>
  </si>
  <si>
    <t>Semak-semak</t>
  </si>
  <si>
    <t>Padang rumput</t>
  </si>
  <si>
    <t>Lahan terbuka</t>
  </si>
  <si>
    <t>Karet tua</t>
  </si>
  <si>
    <t>% Lahan yang dibersihkan untuk penggunaan lain (dibandingkan terhadap area yang ditanami)</t>
  </si>
  <si>
    <t>Pengembangan yang diusulkan (tanah mineral)</t>
  </si>
  <si>
    <t>Jenis penggunaan lahan</t>
  </si>
  <si>
    <t>Luas lahan (ha)</t>
  </si>
  <si>
    <t>Area yang ditanami (ha)</t>
  </si>
  <si>
    <t>Pengembangan yang diusulkan (tanah gambut)</t>
  </si>
  <si>
    <t>Luas lahan yang ditanami, ha</t>
  </si>
  <si>
    <t xml:space="preserve">2. Produksi FFB </t>
  </si>
  <si>
    <t>Petunjuk: Isi perkiraan hasil FFB untuk pengembangan baru</t>
  </si>
  <si>
    <t xml:space="preserve">Data Produksi FFB </t>
  </si>
  <si>
    <t>Perkiraan hasil tFFB/ha</t>
  </si>
  <si>
    <t xml:space="preserve">Luas (ha) area yang ditanami </t>
  </si>
  <si>
    <t>Perkiraan hasil tFFB/thn</t>
  </si>
  <si>
    <t>3. Penggunaan Bahan Bakar Kebun</t>
  </si>
  <si>
    <t>Bahan bakar kebun</t>
  </si>
  <si>
    <t>Total emisi, tCO2e (kebun dan mill)</t>
  </si>
  <si>
    <t>Asumsi emisi bahan bakar</t>
  </si>
  <si>
    <r>
      <t>Solar kg CO</t>
    </r>
    <r>
      <rPr>
        <vertAlign val="subscript"/>
        <sz val="11"/>
        <rFont val="Calibri"/>
        <family val="2"/>
        <scheme val="minor"/>
      </rPr>
      <t>2</t>
    </r>
    <r>
      <rPr>
        <sz val="11"/>
        <rFont val="Calibri"/>
        <family val="2"/>
        <scheme val="minor"/>
      </rPr>
      <t>e/l</t>
    </r>
  </si>
  <si>
    <r>
      <t>Bensin kg CO</t>
    </r>
    <r>
      <rPr>
        <vertAlign val="subscript"/>
        <sz val="11"/>
        <rFont val="Calibri"/>
        <family val="2"/>
        <scheme val="minor"/>
      </rPr>
      <t>2</t>
    </r>
    <r>
      <rPr>
        <sz val="11"/>
        <rFont val="Calibri"/>
        <family val="2"/>
        <scheme val="minor"/>
      </rPr>
      <t>e/l</t>
    </r>
  </si>
  <si>
    <t>Perkiraan konsumsi bahan bakar per tahun</t>
  </si>
  <si>
    <t>Solar</t>
  </si>
  <si>
    <t>Bensin</t>
  </si>
  <si>
    <t>Konsumsi l/ha</t>
  </si>
  <si>
    <t>Konsumsi l/thn</t>
  </si>
  <si>
    <t>Outgrower fuel Konsumsi l/thn</t>
  </si>
  <si>
    <t>Emisi dari bahan bakar kebun</t>
  </si>
  <si>
    <t>l/thn</t>
  </si>
  <si>
    <t>Total tCO2e/thn</t>
  </si>
  <si>
    <r>
      <t>4. Emisi CO</t>
    </r>
    <r>
      <rPr>
        <b/>
        <u/>
        <vertAlign val="subscript"/>
        <sz val="26"/>
        <color theme="3" tint="-0.249977111117893"/>
        <rFont val="Calibri"/>
        <family val="2"/>
      </rPr>
      <t xml:space="preserve">2 </t>
    </r>
    <r>
      <rPr>
        <b/>
        <u/>
        <sz val="26"/>
        <color theme="3" tint="-0.249977111117893"/>
        <rFont val="Calibri"/>
        <family val="2"/>
      </rPr>
      <t>tanah (gambut)</t>
    </r>
  </si>
  <si>
    <t>Tanah mineral</t>
  </si>
  <si>
    <t>Tingkat kandungan karbon organik tanah dalam tanah mineral diasumsikan masih konstan selama siklus tanaman</t>
  </si>
  <si>
    <t>Tanah gambut</t>
  </si>
  <si>
    <t>Apakah permukaan air tanah dikelola secara aktif (Pengelolaan air yang baik = Y, Pengelolaan air secara parsial = P, Tidak ada pengelolaan air = N)?</t>
  </si>
  <si>
    <t>Apabila permukaan air tanah tidak dikelola, cm:</t>
  </si>
  <si>
    <t>Apabila permukaan air tanah dikelola secara parsial, cm:</t>
  </si>
  <si>
    <t>Apabila permukaan air tanah dikelola secara aktif (pengelolaan air yang baik), cm:</t>
  </si>
  <si>
    <t>Apabila permukaan air tanah tidak dikelola, emisi CO2 dari lahan gambut tCO2/ha.thn</t>
  </si>
  <si>
    <t>Apabila permukaan air tanah dikelola secara parsial, emisi CO2 dari lahan gambut tCO2/ha.thn</t>
  </si>
  <si>
    <t>Apabila permukaan air tanah dikelola secara aktif (pengelolaan air yang baik), emisi CO2 dari lahan gambut tCO2/ha.thn</t>
  </si>
  <si>
    <t>Total emisi CO2 dari lahan gambut tCO2/thn</t>
  </si>
  <si>
    <t xml:space="preserve">Petunjuk: Masukkan komposisi senyawa pupuk. Sebuah contoh diberikan dengan menggunakan pupuk hasil hipotesis, NPK 12.6.7. Sheet ini menghitung emisi terkait dengan produksi pupuk. Para pengguna dapat memasukkan maksimal 10 jenis senyawa pupuk. Abaikan sheet ini jika pupuk pilihan Anda  sudah ada dalam sheet 'Pupuk dan N2O' </t>
  </si>
  <si>
    <t>Masukkan rincian komposisi pupuk kompleks</t>
  </si>
  <si>
    <t>Formula pupuk kompleks</t>
  </si>
  <si>
    <t>Kandungan nutrisi makro</t>
  </si>
  <si>
    <t>Jika Anda mengetahui sumber pupuk untuk masing-masing zat nutrisi, silahkan ketik "Y" dalam kotak di bawah pupuk yang dipilih. Apabila sumbernya tidak diketahui, Anda dapat mengosongkannya. Hati-hati Anda hanya boleh memilih satu jenis sumber per zat nutrisi!</t>
  </si>
  <si>
    <t>Kandungan N</t>
  </si>
  <si>
    <t>Kandungan P2O5</t>
  </si>
  <si>
    <t>Kandungan K2O</t>
  </si>
  <si>
    <t>Kandungan Ca</t>
  </si>
  <si>
    <t>Kandungan MgO</t>
  </si>
  <si>
    <t>Kandungan S</t>
  </si>
  <si>
    <t>Kandungan Cu</t>
  </si>
  <si>
    <t>Kandungan Fe</t>
  </si>
  <si>
    <t>Kandungan B</t>
  </si>
  <si>
    <t>Kandungan Zn</t>
  </si>
  <si>
    <t>N dari urea</t>
  </si>
  <si>
    <t>N dari amonium nitrat</t>
  </si>
  <si>
    <t>N dari amonium sulfat</t>
  </si>
  <si>
    <t>N dari amonium klorida</t>
  </si>
  <si>
    <t>N dari diammonium fosfat</t>
  </si>
  <si>
    <t>P2O5 dari diammonium fosfat</t>
  </si>
  <si>
    <t>P2O5 dari triple superfosfat</t>
  </si>
  <si>
    <t>P2O5 dari fosfat alam</t>
  </si>
  <si>
    <t>K2O dari potasium sulfat</t>
  </si>
  <si>
    <t>K2O dari KCL merah atau potasium klorida</t>
  </si>
  <si>
    <t>% dari N</t>
  </si>
  <si>
    <t>% dari P2O5</t>
  </si>
  <si>
    <t>% dari K2O</t>
  </si>
  <si>
    <t>% dari CaCl2</t>
  </si>
  <si>
    <t>% dari MgO</t>
  </si>
  <si>
    <t>% dari CuO</t>
  </si>
  <si>
    <t>% dari FeSO4</t>
  </si>
  <si>
    <t>% dari B2O3</t>
  </si>
  <si>
    <t>% dari ZnO</t>
  </si>
  <si>
    <t>Kandungan nutrisi makro sekunder</t>
  </si>
  <si>
    <t>Kandungan nutrisi mikro</t>
  </si>
  <si>
    <t>Total CO2eq/ton pupuk kompleks</t>
  </si>
  <si>
    <r>
      <t>Pupuk dan N</t>
    </r>
    <r>
      <rPr>
        <b/>
        <vertAlign val="subscript"/>
        <sz val="11"/>
        <rFont val="Calibri"/>
        <family val="2"/>
      </rPr>
      <t>2</t>
    </r>
    <r>
      <rPr>
        <b/>
        <sz val="11"/>
        <rFont val="Calibri"/>
        <family val="2"/>
      </rPr>
      <t>O</t>
    </r>
  </si>
  <si>
    <t>Pilihan pengguna 8</t>
  </si>
  <si>
    <t>Pilihan pengguna 9</t>
  </si>
  <si>
    <t>Pilihan pengguna 10</t>
  </si>
  <si>
    <t>Pilihan pengguna 6</t>
  </si>
  <si>
    <t>Pilihan pengguna 7</t>
  </si>
  <si>
    <t>Pengangkutan melalui jalur darat dari pelabuhan setempat atau distributor setempat ke mill (dalam km)</t>
  </si>
  <si>
    <t xml:space="preserve">Default untuk pengangkutan melalui jalur laut dari luar negeri </t>
  </si>
  <si>
    <t>Pengangkutan Jalur Darat</t>
  </si>
  <si>
    <t>Bahan</t>
  </si>
  <si>
    <t>Dari sumber ke pelabuhan setempat (dalam km)</t>
  </si>
  <si>
    <t>Perkiraan penggunaan pupuk</t>
  </si>
  <si>
    <t>Jenis pupuk</t>
  </si>
  <si>
    <t>t/thn</t>
  </si>
  <si>
    <t>tCO2e/thn</t>
  </si>
  <si>
    <t>Total N2O tCO2e/thn</t>
  </si>
  <si>
    <t>Total N2O, tCO2e/thn</t>
  </si>
  <si>
    <t>Mill POME (t)</t>
  </si>
  <si>
    <t>Kehilangan N2O tidak langsung (kg) /area yang ditanami (ha)</t>
  </si>
  <si>
    <t>N yang digunakan dalam POME (kg)/area yang ditanami (ha)</t>
  </si>
  <si>
    <t>Kehilangan N2O langsung (kg)/area yang ditanami (ha)</t>
  </si>
  <si>
    <r>
      <t>total N</t>
    </r>
    <r>
      <rPr>
        <vertAlign val="subscript"/>
        <sz val="11"/>
        <color indexed="8"/>
        <rFont val="Calibri"/>
        <family val="2"/>
      </rPr>
      <t>2</t>
    </r>
    <r>
      <rPr>
        <sz val="11"/>
        <color theme="1"/>
        <rFont val="Calibri"/>
        <family val="2"/>
        <scheme val="minor"/>
      </rPr>
      <t>O (kg)/ha dari POME</t>
    </r>
  </si>
  <si>
    <r>
      <t>total N</t>
    </r>
    <r>
      <rPr>
        <vertAlign val="subscript"/>
        <sz val="11"/>
        <color indexed="8"/>
        <rFont val="Calibri"/>
        <family val="2"/>
      </rPr>
      <t>2</t>
    </r>
    <r>
      <rPr>
        <sz val="11"/>
        <color theme="1"/>
        <rFont val="Calibri"/>
        <family val="2"/>
        <scheme val="minor"/>
      </rPr>
      <t>O (tCO2e)/ha dari POME</t>
    </r>
  </si>
  <si>
    <t>Produksi EFB tahunan (t)</t>
  </si>
  <si>
    <t>% EFB yang digunakan langsung ke kebun</t>
  </si>
  <si>
    <t>% EFB yang diproses menjadi kompos</t>
  </si>
  <si>
    <t>Area kebun yang ditanami (ha)</t>
  </si>
  <si>
    <t>EFB (t)/area yang ditanami (ha)</t>
  </si>
  <si>
    <t>N yang digunakan dalam EFB (kg)/area yang ditanami (ha)</t>
  </si>
  <si>
    <r>
      <t>total N</t>
    </r>
    <r>
      <rPr>
        <vertAlign val="subscript"/>
        <sz val="11"/>
        <color indexed="8"/>
        <rFont val="Calibri"/>
        <family val="2"/>
      </rPr>
      <t>2</t>
    </r>
    <r>
      <rPr>
        <sz val="11"/>
        <color indexed="8"/>
        <rFont val="Calibri"/>
        <family val="2"/>
      </rPr>
      <t>O (kg)/ha dari EFB</t>
    </r>
  </si>
  <si>
    <r>
      <t>total N2O (tCO</t>
    </r>
    <r>
      <rPr>
        <vertAlign val="subscript"/>
        <sz val="11"/>
        <color indexed="8"/>
        <rFont val="Calibri"/>
        <family val="2"/>
      </rPr>
      <t>2</t>
    </r>
    <r>
      <rPr>
        <sz val="11"/>
        <color theme="1"/>
        <rFont val="Calibri"/>
        <family val="2"/>
        <scheme val="minor"/>
      </rPr>
      <t>e)/ha dari EFB</t>
    </r>
  </si>
  <si>
    <t>Kompos yang digunakan, t/area yang ditanami (ha)</t>
  </si>
  <si>
    <t>Kompos yang digunakan, t/thn</t>
  </si>
  <si>
    <t>Kandungan N kompos (%)</t>
  </si>
  <si>
    <t>N yang digunakan dalam kompos (kg)/area yang ditanami (ha)</t>
  </si>
  <si>
    <r>
      <t>total N</t>
    </r>
    <r>
      <rPr>
        <vertAlign val="subscript"/>
        <sz val="11"/>
        <color indexed="8"/>
        <rFont val="Calibri"/>
        <family val="2"/>
      </rPr>
      <t>2</t>
    </r>
    <r>
      <rPr>
        <sz val="11"/>
        <color indexed="8"/>
        <rFont val="Calibri"/>
        <family val="2"/>
      </rPr>
      <t>O (kg)/ha dari kompos</t>
    </r>
  </si>
  <si>
    <r>
      <t>total N2O (tCO</t>
    </r>
    <r>
      <rPr>
        <vertAlign val="subscript"/>
        <sz val="11"/>
        <color indexed="8"/>
        <rFont val="Calibri"/>
        <family val="2"/>
      </rPr>
      <t>2</t>
    </r>
    <r>
      <rPr>
        <sz val="11"/>
        <color theme="1"/>
        <rFont val="Calibri"/>
        <family val="2"/>
        <scheme val="minor"/>
      </rPr>
      <t>e)/ha dari kompos</t>
    </r>
  </si>
  <si>
    <r>
      <t>total N2O (tCO</t>
    </r>
    <r>
      <rPr>
        <vertAlign val="subscript"/>
        <sz val="11"/>
        <color indexed="8"/>
        <rFont val="Calibri"/>
        <family val="2"/>
      </rPr>
      <t>2</t>
    </r>
    <r>
      <rPr>
        <sz val="11"/>
        <color theme="1"/>
        <rFont val="Calibri"/>
        <family val="2"/>
        <scheme val="minor"/>
      </rPr>
      <t>e)/ha dari EFB dan kompos</t>
    </r>
  </si>
  <si>
    <r>
      <t>Ringkasan N</t>
    </r>
    <r>
      <rPr>
        <b/>
        <vertAlign val="subscript"/>
        <sz val="11"/>
        <color indexed="8"/>
        <rFont val="Calibri"/>
        <family val="2"/>
      </rPr>
      <t>2</t>
    </r>
    <r>
      <rPr>
        <b/>
        <sz val="11"/>
        <color theme="1"/>
        <rFont val="Calibri"/>
        <family val="2"/>
        <scheme val="minor"/>
      </rPr>
      <t xml:space="preserve">O </t>
    </r>
  </si>
  <si>
    <t>Pupuk (tCO2e)/thn</t>
  </si>
  <si>
    <t>EFB dan kompos (tCO2e)/thn</t>
  </si>
  <si>
    <t>POME (tCO2e)/thn</t>
  </si>
  <si>
    <t>Total N2O (tCO2e)/thn</t>
  </si>
  <si>
    <t>Emisi N2O dari tanah gambut,  tCO2e/thn</t>
  </si>
  <si>
    <t>Emisi dari penggunaan</t>
  </si>
  <si>
    <t>Emisi dari pengangkutan &amp; produksi</t>
  </si>
  <si>
    <t>Penyerapan karbon Blok Konservasi</t>
  </si>
  <si>
    <t>Area Konservasi Berhutan (ha):</t>
  </si>
  <si>
    <t>Cseq di Blok-blok Konservasi yang dialokasikan untuk area sawit (tCO2e/thn)</t>
  </si>
  <si>
    <t>Cseq di Blok-blok Konservasi yang dialokasikan untuk area sawit (tCO2e/ha.thn)</t>
  </si>
  <si>
    <t>Akar Kelapa Sawit</t>
  </si>
  <si>
    <t>Tahun penanaman</t>
  </si>
  <si>
    <t>tCO2e/ha.thn (rata-rata 25 thn)</t>
  </si>
  <si>
    <t>Tutupan Tanah</t>
  </si>
  <si>
    <t>Total Biomassa</t>
  </si>
  <si>
    <t>Limbah Kelapa Sawit</t>
  </si>
  <si>
    <t>Batang Utama</t>
  </si>
  <si>
    <t>tBiomass/ha.thn 
(rata-rata 25 tahun)</t>
  </si>
  <si>
    <t xml:space="preserve">Data default </t>
  </si>
  <si>
    <r>
      <t>Pengangkutan lewat jalur laut (kg CO</t>
    </r>
    <r>
      <rPr>
        <vertAlign val="subscript"/>
        <sz val="11"/>
        <color indexed="8"/>
        <rFont val="Calibri"/>
        <family val="2"/>
      </rPr>
      <t>2</t>
    </r>
    <r>
      <rPr>
        <sz val="11"/>
        <color indexed="8"/>
        <rFont val="Calibri"/>
        <family val="2"/>
      </rPr>
      <t>e/km.t)</t>
    </r>
  </si>
  <si>
    <r>
      <t>Solar (kg CO</t>
    </r>
    <r>
      <rPr>
        <vertAlign val="subscript"/>
        <sz val="11"/>
        <rFont val="Calibri"/>
        <family val="2"/>
      </rPr>
      <t>2</t>
    </r>
    <r>
      <rPr>
        <sz val="11"/>
        <rFont val="Calibri"/>
        <family val="2"/>
      </rPr>
      <t>e/l)</t>
    </r>
  </si>
  <si>
    <r>
      <t>Bensin (kg CO</t>
    </r>
    <r>
      <rPr>
        <vertAlign val="subscript"/>
        <sz val="11"/>
        <rFont val="Calibri"/>
        <family val="2"/>
      </rPr>
      <t>2</t>
    </r>
    <r>
      <rPr>
        <sz val="11"/>
        <rFont val="Calibri"/>
        <family val="2"/>
      </rPr>
      <t>e/l)</t>
    </r>
  </si>
  <si>
    <r>
      <t>GWP dari N</t>
    </r>
    <r>
      <rPr>
        <vertAlign val="subscript"/>
        <sz val="11"/>
        <rFont val="Calibri"/>
        <family val="2"/>
      </rPr>
      <t>2</t>
    </r>
    <r>
      <rPr>
        <sz val="11"/>
        <rFont val="Calibri"/>
        <family val="2"/>
      </rPr>
      <t>O kgCO</t>
    </r>
    <r>
      <rPr>
        <vertAlign val="subscript"/>
        <sz val="11"/>
        <rFont val="Calibri"/>
        <family val="2"/>
      </rPr>
      <t>2</t>
    </r>
    <r>
      <rPr>
        <sz val="11"/>
        <rFont val="Calibri"/>
        <family val="2"/>
      </rPr>
      <t>e/kgN</t>
    </r>
    <r>
      <rPr>
        <vertAlign val="subscript"/>
        <sz val="11"/>
        <rFont val="Calibri"/>
        <family val="2"/>
      </rPr>
      <t>2</t>
    </r>
    <r>
      <rPr>
        <sz val="11"/>
        <rFont val="Calibri"/>
        <family val="2"/>
      </rPr>
      <t>O</t>
    </r>
  </si>
  <si>
    <r>
      <t>Produksi N</t>
    </r>
    <r>
      <rPr>
        <vertAlign val="subscript"/>
        <sz val="11"/>
        <color indexed="8"/>
        <rFont val="Calibri"/>
        <family val="2"/>
      </rPr>
      <t>2</t>
    </r>
    <r>
      <rPr>
        <sz val="11"/>
        <color indexed="8"/>
        <rFont val="Calibri"/>
        <family val="2"/>
      </rPr>
      <t>O langsung (kgN</t>
    </r>
    <r>
      <rPr>
        <vertAlign val="subscript"/>
        <sz val="11"/>
        <color indexed="8"/>
        <rFont val="Calibri"/>
        <family val="2"/>
      </rPr>
      <t>2</t>
    </r>
    <r>
      <rPr>
        <sz val="11"/>
        <color indexed="8"/>
        <rFont val="Calibri"/>
        <family val="2"/>
      </rPr>
      <t>O-N)/kg Nitrogen yang digunakan</t>
    </r>
  </si>
  <si>
    <r>
      <t>Produksi N2O tidak langsung (kgN</t>
    </r>
    <r>
      <rPr>
        <vertAlign val="subscript"/>
        <sz val="11"/>
        <color indexed="8"/>
        <rFont val="Calibri"/>
        <family val="2"/>
      </rPr>
      <t>2</t>
    </r>
    <r>
      <rPr>
        <sz val="11"/>
        <color indexed="8"/>
        <rFont val="Calibri"/>
        <family val="2"/>
      </rPr>
      <t>O-N)/kg N yang hilang akibat air limpasan dan pembersihan alamiah</t>
    </r>
  </si>
  <si>
    <r>
      <t>Produksi N2O secara langsung dan tidak langsung dari tanah gambut (kgN</t>
    </r>
    <r>
      <rPr>
        <vertAlign val="subscript"/>
        <sz val="11"/>
        <color theme="1"/>
        <rFont val="Calibri"/>
        <family val="2"/>
        <scheme val="minor"/>
      </rPr>
      <t>2</t>
    </r>
    <r>
      <rPr>
        <sz val="11"/>
        <color theme="1"/>
        <rFont val="Calibri"/>
        <family val="2"/>
        <scheme val="minor"/>
      </rPr>
      <t>O-N/ha.thn)</t>
    </r>
  </si>
  <si>
    <r>
      <t>Pengangkutan pupuk (kgCO</t>
    </r>
    <r>
      <rPr>
        <vertAlign val="subscript"/>
        <sz val="11"/>
        <rFont val="Calibri"/>
        <family val="2"/>
      </rPr>
      <t>2</t>
    </r>
    <r>
      <rPr>
        <sz val="11"/>
        <rFont val="Calibri"/>
        <family val="2"/>
      </rPr>
      <t>e/km.t)</t>
    </r>
  </si>
  <si>
    <t>Faktor emisi untuk urea, tC/t urea</t>
  </si>
  <si>
    <t>Faktor emisi untuk kapur pertanian, tC/t GML</t>
  </si>
  <si>
    <r>
      <t>GWP dari CH</t>
    </r>
    <r>
      <rPr>
        <vertAlign val="subscript"/>
        <sz val="11"/>
        <color indexed="8"/>
        <rFont val="Calibri"/>
        <family val="2"/>
      </rPr>
      <t>4</t>
    </r>
    <r>
      <rPr>
        <sz val="11"/>
        <color indexed="8"/>
        <rFont val="Calibri"/>
        <family val="2"/>
      </rPr>
      <t xml:space="preserve"> kgCO</t>
    </r>
    <r>
      <rPr>
        <vertAlign val="subscript"/>
        <sz val="11"/>
        <color indexed="8"/>
        <rFont val="Calibri"/>
        <family val="2"/>
      </rPr>
      <t>2</t>
    </r>
    <r>
      <rPr>
        <sz val="11"/>
        <color indexed="8"/>
        <rFont val="Calibri"/>
        <family val="2"/>
      </rPr>
      <t>e/kg CH</t>
    </r>
    <r>
      <rPr>
        <vertAlign val="subscript"/>
        <sz val="11"/>
        <color indexed="8"/>
        <rFont val="Calibri"/>
        <family val="2"/>
      </rPr>
      <t>4</t>
    </r>
  </si>
  <si>
    <r>
      <t>CH</t>
    </r>
    <r>
      <rPr>
        <vertAlign val="subscript"/>
        <sz val="11"/>
        <color indexed="8"/>
        <rFont val="Calibri"/>
        <family val="2"/>
      </rPr>
      <t>4</t>
    </r>
    <r>
      <rPr>
        <sz val="11"/>
        <color indexed="8"/>
        <rFont val="Calibri"/>
        <family val="2"/>
      </rPr>
      <t xml:space="preserve"> yang hilang akibat digesti (%)</t>
    </r>
  </si>
  <si>
    <r>
      <t>CH</t>
    </r>
    <r>
      <rPr>
        <vertAlign val="subscript"/>
        <sz val="11"/>
        <rFont val="Calibri"/>
        <family val="2"/>
      </rPr>
      <t>4</t>
    </r>
    <r>
      <rPr>
        <sz val="11"/>
        <rFont val="Calibri"/>
        <family val="2"/>
      </rPr>
      <t xml:space="preserve"> yang hilang dalam penyalaan %</t>
    </r>
  </si>
  <si>
    <r>
      <t>CH</t>
    </r>
    <r>
      <rPr>
        <vertAlign val="subscript"/>
        <sz val="11"/>
        <rFont val="Calibri"/>
        <family val="2"/>
      </rPr>
      <t>4</t>
    </r>
    <r>
      <rPr>
        <sz val="11"/>
        <rFont val="Calibri"/>
        <family val="2"/>
      </rPr>
      <t xml:space="preserve"> yang hilang dalam motor gas  %</t>
    </r>
  </si>
  <si>
    <t>Efisiensi motor gas %</t>
  </si>
  <si>
    <r>
      <t>Nilai Pemanasan Rendah MJ/kg CH</t>
    </r>
    <r>
      <rPr>
        <vertAlign val="subscript"/>
        <sz val="11"/>
        <rFont val="Calibri"/>
        <family val="2"/>
      </rPr>
      <t>4</t>
    </r>
  </si>
  <si>
    <r>
      <t>Koefisien emisi listrik (kg CO</t>
    </r>
    <r>
      <rPr>
        <vertAlign val="subscript"/>
        <sz val="11"/>
        <rFont val="Calibri"/>
        <family val="2"/>
      </rPr>
      <t>2</t>
    </r>
    <r>
      <rPr>
        <sz val="11"/>
        <rFont val="Calibri"/>
        <family val="2"/>
      </rPr>
      <t>e/MJ)</t>
    </r>
  </si>
  <si>
    <t>Nilai pemanasan rendah EFB MJ/kg (FW)</t>
  </si>
  <si>
    <t>Efisiensi ketel uap EFB %</t>
  </si>
  <si>
    <t>Efisiensi alternator turbin EFB %</t>
  </si>
  <si>
    <t>Konsumsi solar untuk mengangkut EFB melalui jalur darat (l/km.t)</t>
  </si>
  <si>
    <t>Faktor koreksi model untuk laguna dalam</t>
  </si>
  <si>
    <t>t CH4/t COD yang dilepaskan selama digesti</t>
  </si>
  <si>
    <t>Faktor koreksi model untuk keragu-raguan</t>
  </si>
  <si>
    <t>N yang hilang karena air limpasan dan pencucian alami %</t>
  </si>
  <si>
    <t>Parameter-parameter default yang diambil dari Ecoinvent v2 (GHG berdasarkan IPCC 2007-100 tahun)</t>
  </si>
  <si>
    <t>Parameter yang digunakan</t>
  </si>
  <si>
    <t>S dari</t>
  </si>
  <si>
    <t>Penggunaan lahan sebelunya</t>
  </si>
  <si>
    <t xml:space="preserve">% kehilangan volatilisasi N </t>
  </si>
  <si>
    <r>
      <t>Bahan kgCO</t>
    </r>
    <r>
      <rPr>
        <vertAlign val="subscript"/>
        <sz val="11"/>
        <color indexed="8"/>
        <rFont val="Calibri"/>
        <family val="2"/>
      </rPr>
      <t>2</t>
    </r>
    <r>
      <rPr>
        <sz val="11"/>
        <color theme="1"/>
        <rFont val="Calibri"/>
        <family val="2"/>
        <scheme val="minor"/>
      </rPr>
      <t>e/t</t>
    </r>
  </si>
  <si>
    <r>
      <t>Emisi langsung kgN</t>
    </r>
    <r>
      <rPr>
        <vertAlign val="subscript"/>
        <sz val="11"/>
        <color indexed="8"/>
        <rFont val="Calibri"/>
        <family val="2"/>
      </rPr>
      <t>2</t>
    </r>
    <r>
      <rPr>
        <sz val="11"/>
        <color theme="1"/>
        <rFont val="Calibri"/>
        <family val="2"/>
        <scheme val="minor"/>
      </rPr>
      <t>O/t pupuk</t>
    </r>
  </si>
  <si>
    <r>
      <t>Emisi tidak langsung kgN</t>
    </r>
    <r>
      <rPr>
        <vertAlign val="subscript"/>
        <sz val="11"/>
        <color indexed="8"/>
        <rFont val="Calibri"/>
        <family val="2"/>
      </rPr>
      <t>2</t>
    </r>
    <r>
      <rPr>
        <sz val="11"/>
        <color theme="1"/>
        <rFont val="Calibri"/>
        <family val="2"/>
        <scheme val="minor"/>
      </rPr>
      <t>O/t pupuk</t>
    </r>
  </si>
  <si>
    <r>
      <t>Total emisi kgN</t>
    </r>
    <r>
      <rPr>
        <vertAlign val="subscript"/>
        <sz val="11"/>
        <color indexed="8"/>
        <rFont val="Calibri"/>
        <family val="2"/>
      </rPr>
      <t>2</t>
    </r>
    <r>
      <rPr>
        <sz val="11"/>
        <color theme="1"/>
        <rFont val="Calibri"/>
        <family val="2"/>
        <scheme val="minor"/>
      </rPr>
      <t>O/t pupuk</t>
    </r>
  </si>
  <si>
    <r>
      <t>kgCO</t>
    </r>
    <r>
      <rPr>
        <vertAlign val="subscript"/>
        <sz val="11"/>
        <color indexed="8"/>
        <rFont val="Calibri"/>
        <family val="2"/>
      </rPr>
      <t>2</t>
    </r>
    <r>
      <rPr>
        <sz val="11"/>
        <color theme="1"/>
        <rFont val="Calibri"/>
        <family val="2"/>
        <scheme val="minor"/>
      </rPr>
      <t>e/t pupuk</t>
    </r>
  </si>
  <si>
    <t>Worksheet ini dikunci untuk mencegah para pengguna secara tidak sengaja mengganti isinya. Password untuk membuka kunci worksheet ini adalah "default"</t>
  </si>
  <si>
    <t>Pilihan pengguna 2</t>
  </si>
  <si>
    <t>N dari berbagai macam pupuk N</t>
  </si>
  <si>
    <t>P2O5 dari batu fosfat</t>
  </si>
  <si>
    <t>P2O5 dari berbagai macam pupuk P</t>
  </si>
  <si>
    <t>K2O dari berbagai macam pupuk K</t>
  </si>
  <si>
    <t>Ca dari kalsium klorida pada tanaman</t>
  </si>
  <si>
    <t>MgO dari magnesium oksida pada tanaman</t>
  </si>
  <si>
    <t>Cu dari tembaga oksida pada tanaman</t>
  </si>
  <si>
    <t>Fe dari besi sulfat pada tanaman</t>
  </si>
  <si>
    <t>B dari asam boron oksida pada tanaman</t>
  </si>
  <si>
    <t>Zn dari seng oksida pada tanaman</t>
  </si>
  <si>
    <t>Pilihan pengguna 3</t>
  </si>
  <si>
    <t>Pilihan pengguna 4</t>
  </si>
  <si>
    <t>Pilihan pengguna 5</t>
  </si>
  <si>
    <t>Sheet ini mengalokasikan emisi FFB dan PK terhadap produk tanaman, berdasarkan berat.</t>
  </si>
  <si>
    <t>Alokasi emisi bersih terhadap produk tanaman</t>
  </si>
  <si>
    <t>% emisi FFB akibat CPO</t>
  </si>
  <si>
    <t>% emisi FFB akibat PK</t>
  </si>
  <si>
    <r>
      <t xml:space="preserve">
Kalkulator GHG Pengembangan Terbaru telah diterbitkan sebagai alat pendukung untuk Prosedur Penilaian RSPO GHG untuk Penanaman Baru. Para pengguna dapat menggunakan kalkulator ini untuk memenuhi </t>
    </r>
    <r>
      <rPr>
        <sz val="14"/>
        <color rgb="FFFF3399"/>
        <rFont val="Calibri"/>
        <family val="2"/>
        <scheme val="minor"/>
      </rPr>
      <t>"Bab 4"</t>
    </r>
    <r>
      <rPr>
        <sz val="14"/>
        <color theme="1"/>
        <rFont val="Calibri"/>
        <family val="2"/>
        <scheme val="minor"/>
      </rPr>
      <t xml:space="preserve"> dalam rangka untuk memperkirakan emisi GHG yang diproseksikan untuk penanaman baru dan juga untuk membuat rencana-rencana yang berbeda untuk emisi-emisi. Parameter-parameter perhitungan dalam kalkulator Excel ini mirip dengan Kalkulator RSPO PalmGHG tetapi telah diadaptasikan untuk penggunaan sebagaimana yang dijelaskan oleh Prosedur Penilaian GHG untuk Penanaman Baru untuk memenuhi persyaratan Kriteria 7.8 dari RSPO P&amp;C 2013. Kalkulator ini tersedia dengan gratis di situs RSPO. </t>
    </r>
  </si>
  <si>
    <r>
      <rPr>
        <b/>
        <sz val="14"/>
        <color theme="3" tint="-0.249977111117893"/>
        <rFont val="Calibri"/>
        <family val="2"/>
        <scheme val="minor"/>
      </rPr>
      <t>Versi: Agustus 2016</t>
    </r>
    <r>
      <rPr>
        <b/>
        <sz val="14"/>
        <color theme="4"/>
        <rFont val="Calibri"/>
        <family val="2"/>
        <scheme val="minor"/>
      </rPr>
      <t xml:space="preserve">
</t>
    </r>
    <r>
      <rPr>
        <sz val="14"/>
        <color theme="1"/>
        <rFont val="Calibri"/>
        <family val="2"/>
        <scheme val="minor"/>
      </rPr>
      <t>Catatan: Sebelumnya, sebuah spreadsheet excel, “PalmGHG yang disederhanakan untuk penggunaan C7.8” diterbitkan untuk digunakan bersamaan dengan Prosedur Penilaian RSPO GHG untuk Penanaman Baru – Versi Desember 2014. “Kalkulator GHG Pengembangan Terbaru – Versi Agustus 2016” ini menggantikannya. 
“Kalkulator GHG Pengembangan Terbaru” telah disesuaikan agar memenuhi persyaratan “Prosedur Penilaian RSPO GHG untuk Penanaman Baru – Versi Agustus 2016”. Tata letak dari Kalkulator tersebut juga telah disesuaikan untuk mempermudah dan memperjelas proses entri data bagi para pengguna.
RSPO akan sangat menghargai apabila Anda memberitahu kami mengenai setiap permasalahan pada saat menggunakan Kalkulator ini, dan RSPO membutuhkan informasi tersebut dan komentar lainnya sehingga dapat dipertimbangkan dalam pembuatan versi Kalkulator selanjutnya. Komentar-komentar harus dikirim ke rspo@rspo.org.</t>
    </r>
  </si>
  <si>
    <t>Triple superfosfat</t>
  </si>
  <si>
    <t>Catatan: Isi dari cell-cell dalam spreadsheet diberi kode warna sebagai berikut: 
Input Data  - Diisi Pengguna 
Input Data - Nilai-nilai Default 
Tautan, Perhitungan
Beberapa worksheet dan cell individu dikunci untuk mencegah pengguna secara tidak sengaja mengganti isinya.</t>
  </si>
  <si>
    <t>Isi hanya cell-cell dengan warna kuning pada masing-masing sheet. 
1.        Mulai dengan sheet 'emisi-emisi LUC', dan masukkan area yang akan dibersihkan dan stok karbon terkait (lihat laporan penilaian stok karbon Anda) 
2.        Lanjutkan ke sheet 'Produksi FFB', dan isi hasil FFB/ha yang diperkirakan 
3.        Selanjutnya, masuk ke sheet ‘Bahan bakar kebun’ dan isi perkiraan penggunaan bahan bakar tahunan di kebun.
4.        Lanjutkan ke sheet ‘Lahan gambut’. Jika Anda telah memasukkan area lahan gambut yang akan dibersihkan dalam sheet ‘Emisi-emisi LUC’, Anda perlu memasukkan perkiraan pengelolaan air di lahan gambut yang dikeringkan untuk memperkirakan emisi-emisi dari oksidasi lahan gambut. Lewati langkah ini apabila tidak ada pengembangan lahan gambut.
5.        Apakah Anda menggunakan suatu senyawa pupuk yang saat ini tidak disebutkan dalam kalkulator ini? Jika ya, buka sheet ‘Pupuk pilihan pengguna’ dan isi kandungan nutrisi terkait senyawa pupuk Anda. Sheet akan memperkirakan emisi bahan (dari produksi) pupuk Anda dan data terkait akan ditautkan ke sheet selanjutnya, yaitu ‘Pupuk dan N2O‘. 
           *Apabila pupuk pilihan Anda  sudah ada dalam kalkulator ini, Anda dapat melewati langkah ini dan langsung melanjutkan ke ‘Pupuk dan N2O‘.
6.        Dalam sheet ‘Pupuk dan N2O‘, isi perkiraan penggunaan pupuk tahunan di kebun. Berikan juga perkiraan jarak untuk pengangkutan lewat  jalur laut dan jalur darat dari pupuk pilihan Anda.
           Jarak pengangkutan lewat jalur laut default yang disediakan adalah 6000 km apabila informasi yang dibutuhkan tidak tersedia.
7.        Apabila Anda memiliki area-area konservasi yang harus disisihkan, Anda dapat memperkirakan tingkat penyerapan karbon tahunan dalam sheet ‘Penyerapan karbon Area Konservasi’.
8.        Sheet ‘Penyerapan karbon tanaman’ menyajikan data yang diambil dari OPRODSIM/OPCABSIM namun dirata-ratakan selama 25 tahun. Ini dapat diubah apabila ada data yang lebih sesuai. Setiap perubahan harus dicantumkan dan dibuktikan kebenarannya dalam laporan penilaian GHG.
9.        Terakhir, apabila pengembangan terbaru Anda akan memasukkan operasi mill, silahkan isi sheet ‘Data mill’. Anda dapat melewati langkah ini apabila tidak ada pengembangan mill (misalnya petani plasma dan petani kecil).
10.      Buka sheet ‘Ringkasan hasil’ untuk hasil emisi Anda.
*CATATAN PENTING: nilai-nilai default disajikan dan tercantum dalam sheet ‘Data default’ tapi para pengguna disarankan untuk memeriksa apakah data tersebut tepat untuk mill dan perkebunan yang sedang ditelaah. Anda dapat mengubahnya, namun harus dicantumkan dan dibuktikan kebenarannya dalam laporan Penilaian GHG.</t>
  </si>
  <si>
    <t>Emisi kebun dan penyerap karbon (Asumsi pertumbuhan kelapa sawit rata-rata- untuk digunakan oleh petani plasma)</t>
  </si>
  <si>
    <t>Emisi kebun &amp; penyerap karbon (Asumsi pertumbuhan kelapa sawit maksimal - untuk digunakan oleh operasi skala besar)</t>
  </si>
  <si>
    <t>Kredit (penjualan biomassa untuk listrik)</t>
  </si>
  <si>
    <t>Pupuk &amp; N2O</t>
  </si>
  <si>
    <t>Bahan bakar (mill &amp; kebun)</t>
  </si>
  <si>
    <t>Kredit (listrik &amp; biomassa)</t>
  </si>
  <si>
    <t>Petunjuk: Isi area-area yang akan dibersihkan untuk penanaman baru dan perkiraan stok karbon dari tutupan lahan yang ada. Jika stok karbon dihitung dengan perkiraan dengan menggunakan nilai-nilai default yang disediakan dalam Prosedur Penilaian GHG, maka Anda dapat memilih daftar nilai-nilai default yang disediakan di bawah ini. Namun, apabila melakukan perhitungan kebun, silahkan tentukan jenis tutupan lahan dan stok karbon terkait (isi cell-cell kuning)</t>
  </si>
  <si>
    <t>Kelapa Sawit (Maksimal)</t>
  </si>
  <si>
    <t>Kelapa Sawit (Rata-rata)</t>
  </si>
  <si>
    <t>tCO2e/thn 
(hanya area yang ditanami)</t>
  </si>
  <si>
    <t>tCO2e/thn (termasuk lahan yang dibersihkan untuk penggunaan lain)</t>
  </si>
  <si>
    <t>Total emisi dari LUC (termasuk penggunaan lahan lain ), tCO2e/thn</t>
  </si>
  <si>
    <t>Petunjuk: Masukkan perkiraan penggunaan bahan bakar tahunan termasuk untuk pengangkutan FFB ke mill, pengangkutan EFB dan/atau kompos ke kebun, pengangkutan pekerja dan bahan ke kebun, pengoperasian mesin seperti mesin penyebar pupuk, pompa dan mesin pembalik kompos, dan perawatan infrastruktur seperti jalan dan selokan, untuk penggilingan tanaman sendiri. Bahan bakar yang digunakan untuk kegiatan pembersihan lahan (saat persiapan penanaman baru) tidak dimasukkan.</t>
  </si>
  <si>
    <t>Petunjuk: Sheet ini mengambil data lahan gambut yang ditanami dari sheet 'Emisi LUC' , dan perkiraan emisi CO2 dari tanah-tanah ini dalam satuan t CO2e/ha/thn, yang dirata-ratakan untuk keseluruhan area. Emisi akibat pembudidayaan lahan gambut saat ini diperhitungkan dengan menggunakan persamaan berikut ini berdasarkan sebuah kajian yang sebagian besar merupakan perhitungan fluks CO2  (Hooijer et al., 2010)[10]: 
Emisi CO2 lahan gambut (t CO2/ha/tahun) = 0,91 x cm kedalaman drainase</t>
  </si>
  <si>
    <r>
      <t>Petunjuk: Masukkan perkiraan penggunaan pupuk tahunan. Sheet ini memperhitungkan total CO</t>
    </r>
    <r>
      <rPr>
        <i/>
        <vertAlign val="subscript"/>
        <sz val="11"/>
        <color theme="1"/>
        <rFont val="Calibri"/>
        <family val="2"/>
        <scheme val="minor"/>
      </rPr>
      <t>2</t>
    </r>
    <r>
      <rPr>
        <i/>
        <sz val="11"/>
        <color theme="1"/>
        <rFont val="Calibri"/>
        <family val="2"/>
        <scheme val="minor"/>
      </rPr>
      <t>e yang dihasilkan dari pembuatan, pengangkutan dan penggunaan pupuk berdasarkan jenisnya. Sheet ini juga memperhitungkan N</t>
    </r>
    <r>
      <rPr>
        <i/>
        <vertAlign val="subscript"/>
        <sz val="11"/>
        <color theme="1"/>
        <rFont val="Calibri"/>
        <family val="2"/>
        <scheme val="minor"/>
      </rPr>
      <t>2</t>
    </r>
    <r>
      <rPr>
        <i/>
        <sz val="11"/>
        <color theme="1"/>
        <rFont val="Calibri"/>
        <family val="2"/>
        <scheme val="minor"/>
      </rPr>
      <t>O yang dihasilkan dari penggunaan pupuk di kebun dan penggunaan EFB, kompos dan POME di kebun. Sebuah daftar pupuk langsung sudah disediakan. Untuk senyawa pupuk, para pengguna pertama-tama harus menambahkannya ke dalam sheet 'Pupuk pilihan pengguna' (lihat cell-cell warna kuning). Emisi dari pembuatan senyawa pupuk dapat dihitung dengan menggunakan sheet 'Pupuk pilihan pengguna'. Sebuah contoh mengenai bagaimana cara untuk melakukan ini dijelaskan dengan menggunakan contoh pupuk hasil hipotesa - NPK 12.6.7</t>
    </r>
  </si>
  <si>
    <t>POME (t)/area yang ditanami (ha)</t>
  </si>
  <si>
    <r>
      <t>Petunjuk:</t>
    </r>
    <r>
      <rPr>
        <i/>
        <sz val="11"/>
        <color rgb="FFFF0000"/>
        <rFont val="Calibri"/>
        <family val="2"/>
        <scheme val="minor"/>
      </rPr>
      <t xml:space="preserve"> </t>
    </r>
    <r>
      <rPr>
        <i/>
        <sz val="11"/>
        <rFont val="Calibri"/>
        <family val="2"/>
        <scheme val="minor"/>
      </rPr>
      <t xml:space="preserve">Masukkan area konservasi berhutan yang disisihkan (dalam ha) dan masukkan Cseq Rata-rata untuk menghitung penyerapan emisi dari semua area konservasi hutan (ha). Laju Cseq RSPO default disediakan di bawah ini. Anda dapat menggunakan laju Cseq tingkat regional / nasional / daerah dengan merujuk pada laju yang diberikan tersebut. 
*Konsesi kelapa sawit dapat memiliki area-area yang cocok untuk kelapa sawit, namun telah secara khusus ditetapkan sebagai Blok-blok Konservasi dan tidak boleh dibersihkan. Area-area ini dapat digunakan sebagai sumber penyerapan karbon. </t>
    </r>
  </si>
  <si>
    <r>
      <t>Cseq Rata-rata di Blok-blok Konservasi (tCO</t>
    </r>
    <r>
      <rPr>
        <vertAlign val="subscript"/>
        <sz val="11"/>
        <rFont val="Calibri"/>
        <family val="2"/>
      </rPr>
      <t>2</t>
    </r>
    <r>
      <rPr>
        <sz val="11"/>
        <rFont val="Calibri"/>
        <family val="2"/>
        <scheme val="minor"/>
      </rPr>
      <t>e/ha.thn)</t>
    </r>
  </si>
  <si>
    <r>
      <rPr>
        <b/>
        <sz val="11"/>
        <color theme="1"/>
        <rFont val="Calibri"/>
        <family val="2"/>
        <scheme val="minor"/>
      </rPr>
      <t>Panduan untuk penggunaan nilai default Penyerapan Karbon Konservasi (Cseq):</t>
    </r>
    <r>
      <rPr>
        <sz val="11"/>
        <color theme="1"/>
        <rFont val="Calibri"/>
        <family val="2"/>
        <scheme val="minor"/>
      </rPr>
      <t xml:space="preserve">
Tiga nilai default penyerapan karbon konservasi regional diberikan sebagai berikut: i) </t>
    </r>
    <r>
      <rPr>
        <b/>
        <sz val="11"/>
        <color theme="1"/>
        <rFont val="Calibri"/>
        <family val="2"/>
        <scheme val="minor"/>
      </rPr>
      <t>Afrika 2.41 tC/ha/thn</t>
    </r>
    <r>
      <rPr>
        <sz val="11"/>
        <color theme="1"/>
        <rFont val="Calibri"/>
        <family val="2"/>
        <scheme val="minor"/>
      </rPr>
      <t xml:space="preserve">; ii) </t>
    </r>
    <r>
      <rPr>
        <b/>
        <sz val="11"/>
        <color theme="1"/>
        <rFont val="Calibri"/>
        <family val="2"/>
        <scheme val="minor"/>
      </rPr>
      <t>Asia Tenggara 2.5tC/ha/thn</t>
    </r>
    <r>
      <rPr>
        <sz val="11"/>
        <color theme="1"/>
        <rFont val="Calibri"/>
        <family val="2"/>
        <scheme val="minor"/>
      </rPr>
      <t xml:space="preserve">; dan iii) </t>
    </r>
    <r>
      <rPr>
        <b/>
        <sz val="11"/>
        <color theme="1"/>
        <rFont val="Calibri"/>
        <family val="2"/>
        <scheme val="minor"/>
      </rPr>
      <t>Amerika Selatan 1.5 tC/ha/thn</t>
    </r>
    <r>
      <rPr>
        <sz val="11"/>
        <color theme="1"/>
        <rFont val="Calibri"/>
        <family val="2"/>
        <scheme val="minor"/>
      </rPr>
      <t>.  Ketiga nilai default tersebut bersumber dari literatur-literatur yang diterbitkan (lihat tautan). Tiga prinsip kehati-hatian digunakan bersamaan dengan ketiga nilai difault ini:
a)      Nilai-nilai penyerapan karbon yang lebih rendah disarankan untuk menghindari kelebihan perhitungan penyerapan karbon dari area-area yang disisihkan yang belum memberikan insentif untuk para pengembang untuk mengelola area konservasi yang disisihkan dalam area konsesi.
b)      Data default regional hanya dapat diterapkan untuk area-area yang disisihkan yang mewakili mutu hutan yang serupa yang dijelaskan dalam literatur-literatur tersebut, yaitu hutan dengan dampak pasca penebangan dan kegiatan manusia. 
c)       Sebagaimana yang dipersyaratkan oleh NPP, para pengembang harus menyatakan tindakan pengelolaan dan pemantauan untuk memelihara, mengelola atau memperbaiki area-area tersebut. Hasil pemantauan aktual harus dimasukkan dalam pelaporan C5.6.</t>
    </r>
  </si>
  <si>
    <r>
      <t>Catatan untuk para pengguna:</t>
    </r>
    <r>
      <rPr>
        <i/>
        <sz val="11"/>
        <color theme="1"/>
        <rFont val="Calibri"/>
        <family val="2"/>
        <scheme val="minor"/>
      </rPr>
      <t xml:space="preserve"> Sheet ‘Penyerapan karbon tanaman’ menyediakan data yang diambil dari OPRODSIM/OPCABSIM namun sebagai ganti penggunaan model pertumbuhan maksimal asli (sebagaimana yang digunakan sebelumnya dalam PalmGHG dan PalmGHG yang disederhanakan untuk C7.8), Kalkulator GHG Pengembangan Baru menggunakan data dari OPRODSIM/OPCABSIM dan merata-ratakannya secara bersamaan selama 25 tahun.  Data di sini dapat diubah apabila para pengguna memiliki data pertumbuhan kelapa sawit yang lebih sesuai . Setiap perubahan harus ditunjukkan dan dapat dibenarkan dalam laporan penilaian GHG.</t>
    </r>
  </si>
  <si>
    <t xml:space="preserve">Pertumbuhan Maksimal </t>
  </si>
  <si>
    <t xml:space="preserve">Pertumbuhan Rata-rata </t>
  </si>
  <si>
    <t xml:space="preserve">Sheet ini berisi faktor-faktor konversi standar, dan data yang diperlukan untuk kalkulator namun secara khusus tidak dapat diperoleh dari para pengembang kelapa sawit. Nilai-nilai untuk stok karbon dalam penggunaan lahan akan diperbarui dengan nilai-nilai yang diberikan oleh GHGWG2 (WS3) setelah nila-nilai ini dikaji oleh rekan-rekan seprofesi dan diterbitkan (Agus et al. dalam cetakan [25]). </t>
  </si>
  <si>
    <r>
      <t>Produksi N2O tidak langsung (kgN2O-N)</t>
    </r>
    <r>
      <rPr>
        <sz val="11"/>
        <color indexed="8"/>
        <rFont val="Calibri"/>
        <family val="2"/>
      </rPr>
      <t>/kg N yang hilang akibat volatilisasi</t>
    </r>
  </si>
  <si>
    <r>
      <t>CH</t>
    </r>
    <r>
      <rPr>
        <vertAlign val="subscript"/>
        <sz val="11"/>
        <rFont val="Calibri"/>
        <family val="2"/>
      </rPr>
      <t>4</t>
    </r>
    <r>
      <rPr>
        <sz val="11"/>
        <rFont val="Calibri"/>
        <family val="2"/>
      </rPr>
      <t xml:space="preserve"> dari digesti yang dialihkan menjadi menyala %</t>
    </r>
  </si>
  <si>
    <r>
      <t>Kredit untuk ekspor cangkang sawit sebagai pengganti batu bara (kg CO</t>
    </r>
    <r>
      <rPr>
        <vertAlign val="subscript"/>
        <sz val="11"/>
        <rFont val="Calibri"/>
        <family val="2"/>
        <scheme val="minor"/>
      </rPr>
      <t>2</t>
    </r>
    <r>
      <rPr>
        <sz val="11"/>
        <rFont val="Calibri"/>
        <family val="2"/>
        <scheme val="minor"/>
      </rPr>
      <t>e)/t cangkang sawit</t>
    </r>
  </si>
  <si>
    <t>RSPO-PRO-T04-003 V2.0 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</si>
</sst>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
    <numFmt numFmtId="166" formatCode="#,##0.0"/>
    <numFmt numFmtId="167" formatCode="#,##0.000"/>
    <numFmt numFmtId="168" formatCode="0.0000"/>
    <numFmt numFmtId="169" formatCode="_-* #,##0.00_-;_-* #,##0.00\-;_-* &quot;-&quot;??_-;_-@_-"/>
    <numFmt numFmtId="170" formatCode="0.00000"/>
  </numFmts>
  <fonts count="70" x14ac:knownFonts="1">
    <font>
      <sz val="11"/>
      <color theme="1"/>
      <name val="Calibri"/>
      <family val="2"/>
      <scheme val="minor"/>
    </font>
    <font>
      <sz val="11"/>
      <color indexed="8"/>
      <name val="Calibri"/>
      <family val="2"/>
    </font>
    <font>
      <b/>
      <sz val="8"/>
      <color indexed="81"/>
      <name val="Tahoma"/>
      <family val="2"/>
    </font>
    <font>
      <b/>
      <sz val="10"/>
      <color indexed="81"/>
      <name val="Tahoma"/>
      <family val="2"/>
    </font>
    <font>
      <b/>
      <sz val="9"/>
      <color indexed="81"/>
      <name val="Tahoma"/>
      <family val="2"/>
    </font>
    <font>
      <vertAlign val="subscript"/>
      <sz val="11"/>
      <color indexed="8"/>
      <name val="Calibri"/>
      <family val="2"/>
    </font>
    <font>
      <sz val="11"/>
      <name val="Calibri"/>
      <family val="2"/>
    </font>
    <font>
      <b/>
      <sz val="11"/>
      <name val="Calibri"/>
      <family val="2"/>
    </font>
    <font>
      <b/>
      <vertAlign val="subscript"/>
      <sz val="11"/>
      <name val="Calibri"/>
      <family val="2"/>
    </font>
    <font>
      <vertAlign val="subscript"/>
      <sz val="11"/>
      <name val="Calibri"/>
      <family val="2"/>
    </font>
    <font>
      <i/>
      <sz val="11"/>
      <name val="Calibri"/>
      <family val="2"/>
    </font>
    <font>
      <b/>
      <sz val="18"/>
      <color indexed="56"/>
      <name val="Cambria"/>
      <family val="2"/>
    </font>
    <font>
      <sz val="10"/>
      <name val="Arial"/>
      <family val="2"/>
    </font>
    <font>
      <u/>
      <sz val="10"/>
      <color indexed="12"/>
      <name val="Arial"/>
      <family val="2"/>
    </font>
    <font>
      <sz val="10"/>
      <name val="Arial"/>
      <family val="2"/>
    </font>
    <font>
      <sz val="8"/>
      <color indexed="81"/>
      <name val="Tahoma"/>
      <family val="2"/>
    </font>
    <font>
      <sz val="9"/>
      <color indexed="81"/>
      <name val="Tahoma"/>
      <family val="2"/>
    </font>
    <font>
      <sz val="10"/>
      <name val="Arial"/>
      <family val="2"/>
    </font>
    <font>
      <b/>
      <sz val="11"/>
      <color theme="1"/>
      <name val="Calibri"/>
      <family val="2"/>
      <scheme val="minor"/>
    </font>
    <font>
      <sz val="11"/>
      <color rgb="FFFF0000"/>
      <name val="Calibri"/>
      <family val="2"/>
      <scheme val="minor"/>
    </font>
    <font>
      <b/>
      <sz val="11"/>
      <color theme="5" tint="-0.249977111117893"/>
      <name val="Calibri"/>
      <family val="2"/>
      <scheme val="minor"/>
    </font>
    <font>
      <sz val="11"/>
      <color rgb="FF0070C0"/>
      <name val="Calibri"/>
      <family val="2"/>
      <scheme val="minor"/>
    </font>
    <font>
      <b/>
      <sz val="11"/>
      <color rgb="FF00B050"/>
      <name val="Calibri"/>
      <family val="2"/>
      <scheme val="minor"/>
    </font>
    <font>
      <b/>
      <sz val="11"/>
      <color rgb="FF0070C0"/>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sz val="11"/>
      <color rgb="FFC00000"/>
      <name val="Calibri"/>
      <family val="2"/>
      <scheme val="minor"/>
    </font>
    <font>
      <b/>
      <sz val="11"/>
      <name val="Calibri"/>
      <family val="2"/>
      <scheme val="minor"/>
    </font>
    <font>
      <b/>
      <i/>
      <sz val="11"/>
      <color theme="1"/>
      <name val="Calibri"/>
      <family val="2"/>
      <scheme val="minor"/>
    </font>
    <font>
      <i/>
      <u/>
      <sz val="11"/>
      <color theme="1"/>
      <name val="Calibri"/>
      <family val="2"/>
      <scheme val="minor"/>
    </font>
    <font>
      <sz val="11"/>
      <color indexed="14"/>
      <name val="Calibri"/>
      <family val="2"/>
      <scheme val="minor"/>
    </font>
    <font>
      <i/>
      <u/>
      <sz val="11"/>
      <color indexed="61"/>
      <name val="Calibri"/>
      <family val="2"/>
      <scheme val="minor"/>
    </font>
    <font>
      <i/>
      <sz val="11"/>
      <name val="Calibri"/>
      <family val="2"/>
      <scheme val="minor"/>
    </font>
    <font>
      <b/>
      <i/>
      <sz val="11"/>
      <name val="Calibri"/>
      <family val="2"/>
      <scheme val="minor"/>
    </font>
    <font>
      <i/>
      <u/>
      <sz val="11"/>
      <name val="Calibri"/>
      <family val="2"/>
      <scheme val="minor"/>
    </font>
    <font>
      <b/>
      <sz val="10"/>
      <color rgb="FFC00000"/>
      <name val="Arial"/>
      <family val="2"/>
    </font>
    <font>
      <b/>
      <i/>
      <sz val="11"/>
      <color rgb="FF00B050"/>
      <name val="Calibri"/>
      <family val="2"/>
      <scheme val="minor"/>
    </font>
    <font>
      <b/>
      <sz val="12"/>
      <color rgb="FFFF0000"/>
      <name val="Calibri"/>
      <family val="2"/>
      <scheme val="minor"/>
    </font>
    <font>
      <vertAlign val="subscript"/>
      <sz val="11"/>
      <color theme="1"/>
      <name val="Calibri"/>
      <family val="2"/>
      <scheme val="minor"/>
    </font>
    <font>
      <vertAlign val="subscript"/>
      <sz val="11"/>
      <name val="Calibri"/>
      <family val="2"/>
      <scheme val="minor"/>
    </font>
    <font>
      <b/>
      <sz val="11"/>
      <color indexed="81"/>
      <name val="Calibri"/>
      <family val="2"/>
      <scheme val="minor"/>
    </font>
    <font>
      <i/>
      <vertAlign val="subscript"/>
      <sz val="11"/>
      <color theme="1"/>
      <name val="Calibri"/>
      <family val="2"/>
      <scheme val="minor"/>
    </font>
    <font>
      <b/>
      <vertAlign val="subscript"/>
      <sz val="11"/>
      <color indexed="8"/>
      <name val="Calibri"/>
      <family val="2"/>
    </font>
    <font>
      <b/>
      <sz val="11"/>
      <color theme="1"/>
      <name val="Arial"/>
      <family val="2"/>
    </font>
    <font>
      <sz val="11"/>
      <color theme="1"/>
      <name val="Arial"/>
      <family val="2"/>
    </font>
    <font>
      <sz val="11"/>
      <color rgb="FFFF0000"/>
      <name val="Arial"/>
      <family val="2"/>
    </font>
    <font>
      <b/>
      <sz val="11"/>
      <color rgb="FFFFFF00"/>
      <name val="Calibri"/>
      <family val="2"/>
      <scheme val="minor"/>
    </font>
    <font>
      <b/>
      <sz val="11"/>
      <color theme="4"/>
      <name val="Calibri"/>
      <family val="2"/>
      <scheme val="minor"/>
    </font>
    <font>
      <b/>
      <sz val="8"/>
      <color indexed="81"/>
      <name val="Calibri"/>
      <family val="2"/>
      <scheme val="minor"/>
    </font>
    <font>
      <sz val="11"/>
      <color rgb="FF00B050"/>
      <name val="Calibri"/>
      <family val="2"/>
      <scheme val="minor"/>
    </font>
    <font>
      <b/>
      <sz val="11"/>
      <color theme="3"/>
      <name val="Calibri"/>
      <family val="2"/>
      <scheme val="minor"/>
    </font>
    <font>
      <sz val="11"/>
      <color theme="0"/>
      <name val="Calibri"/>
      <family val="2"/>
      <scheme val="minor"/>
    </font>
    <font>
      <b/>
      <vertAlign val="subscript"/>
      <sz val="11"/>
      <color theme="1"/>
      <name val="Calibri"/>
      <family val="2"/>
      <scheme val="minor"/>
    </font>
    <font>
      <b/>
      <sz val="11"/>
      <name val="Arial"/>
      <family val="2"/>
    </font>
    <font>
      <i/>
      <sz val="11"/>
      <color rgb="FFFF0000"/>
      <name val="Calibri"/>
      <family val="2"/>
      <scheme val="minor"/>
    </font>
    <font>
      <b/>
      <u/>
      <sz val="26"/>
      <color theme="4"/>
      <name val="Calibri"/>
      <family val="2"/>
      <scheme val="minor"/>
    </font>
    <font>
      <sz val="14"/>
      <color theme="1"/>
      <name val="Calibri"/>
      <family val="2"/>
      <scheme val="minor"/>
    </font>
    <font>
      <sz val="14"/>
      <color rgb="FFFF3399"/>
      <name val="Calibri"/>
      <family val="2"/>
      <scheme val="minor"/>
    </font>
    <font>
      <b/>
      <sz val="14"/>
      <color theme="4"/>
      <name val="Calibri"/>
      <family val="2"/>
      <scheme val="minor"/>
    </font>
    <font>
      <u/>
      <sz val="11"/>
      <color theme="1"/>
      <name val="Calibri"/>
      <family val="2"/>
      <scheme val="minor"/>
    </font>
    <font>
      <sz val="10"/>
      <color theme="1"/>
      <name val="Calibri"/>
      <family val="2"/>
      <scheme val="minor"/>
    </font>
    <font>
      <sz val="14"/>
      <name val="Calibri"/>
      <family val="2"/>
      <scheme val="minor"/>
    </font>
    <font>
      <sz val="11"/>
      <color theme="0" tint="-0.34998626667073579"/>
      <name val="Calibri"/>
      <family val="2"/>
      <scheme val="minor"/>
    </font>
    <font>
      <b/>
      <u/>
      <sz val="26"/>
      <color theme="3" tint="-0.249977111117893"/>
      <name val="Calibri"/>
      <family val="2"/>
      <scheme val="minor"/>
    </font>
    <font>
      <b/>
      <sz val="14"/>
      <color theme="3" tint="-0.249977111117893"/>
      <name val="Calibri"/>
      <family val="2"/>
      <scheme val="minor"/>
    </font>
    <font>
      <b/>
      <u/>
      <sz val="24"/>
      <color theme="3" tint="-0.249977111117893"/>
      <name val="Calibri"/>
      <family val="2"/>
      <scheme val="minor"/>
    </font>
    <font>
      <b/>
      <u/>
      <vertAlign val="subscript"/>
      <sz val="26"/>
      <color theme="3" tint="-0.249977111117893"/>
      <name val="Calibri"/>
      <family val="2"/>
    </font>
    <font>
      <b/>
      <u/>
      <sz val="26"/>
      <color theme="3" tint="-0.249977111117893"/>
      <name val="Calibri"/>
      <family val="2"/>
    </font>
    <font>
      <sz val="10"/>
      <color rgb="FF000000"/>
      <name val="Arial"/>
      <family val="2"/>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48">
    <border>
      <left/>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style="medium">
        <color rgb="FFC00000"/>
      </left>
      <right style="thin">
        <color indexed="64"/>
      </right>
      <top style="medium">
        <color rgb="FFC00000"/>
      </top>
      <bottom style="thin">
        <color indexed="64"/>
      </bottom>
      <diagonal/>
    </border>
    <border>
      <left style="thin">
        <color indexed="64"/>
      </left>
      <right style="thin">
        <color indexed="64"/>
      </right>
      <top style="medium">
        <color rgb="FFC00000"/>
      </top>
      <bottom style="thin">
        <color indexed="64"/>
      </bottom>
      <diagonal/>
    </border>
    <border>
      <left style="thin">
        <color auto="1"/>
      </left>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auto="1"/>
      </left>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11">
    <xf numFmtId="0" fontId="0" fillId="0" borderId="0"/>
    <xf numFmtId="169" fontId="12" fillId="0" borderId="0" applyFont="0" applyFill="0" applyBorder="0" applyAlignment="0" applyProtection="0"/>
    <xf numFmtId="169" fontId="14" fillId="0" borderId="0" applyFont="0" applyFill="0" applyBorder="0" applyAlignment="0" applyProtection="0"/>
    <xf numFmtId="0" fontId="13" fillId="0" borderId="0" applyNumberFormat="0" applyFill="0" applyBorder="0" applyAlignment="0" applyProtection="0">
      <alignment vertical="top"/>
      <protection locked="0"/>
    </xf>
    <xf numFmtId="0" fontId="12" fillId="0" borderId="0"/>
    <xf numFmtId="0" fontId="14" fillId="0" borderId="0"/>
    <xf numFmtId="0" fontId="17" fillId="0" borderId="0"/>
    <xf numFmtId="9" fontId="12"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0" fontId="11" fillId="0" borderId="0" applyNumberFormat="0" applyFill="0" applyBorder="0" applyAlignment="0" applyProtection="0"/>
  </cellStyleXfs>
  <cellXfs count="477">
    <xf numFmtId="0" fontId="0" fillId="0" borderId="0" xfId="0"/>
    <xf numFmtId="1" fontId="23" fillId="0" borderId="0" xfId="0" applyNumberFormat="1" applyFont="1"/>
    <xf numFmtId="164" fontId="23" fillId="0" borderId="0" xfId="0" applyNumberFormat="1" applyFont="1"/>
    <xf numFmtId="2" fontId="23" fillId="0" borderId="0" xfId="0" applyNumberFormat="1" applyFont="1"/>
    <xf numFmtId="164" fontId="22" fillId="0" borderId="0" xfId="0" applyNumberFormat="1" applyFont="1"/>
    <xf numFmtId="0" fontId="25" fillId="0" borderId="0" xfId="0" applyFont="1" applyAlignment="1">
      <alignment wrapText="1"/>
    </xf>
    <xf numFmtId="0" fontId="27" fillId="0" borderId="0" xfId="0" applyFont="1"/>
    <xf numFmtId="0" fontId="18" fillId="0" borderId="0" xfId="0" applyFont="1"/>
    <xf numFmtId="0" fontId="18" fillId="0" borderId="0" xfId="0" applyFont="1" applyFill="1"/>
    <xf numFmtId="0" fontId="22" fillId="0" borderId="0" xfId="0" applyFont="1"/>
    <xf numFmtId="0" fontId="25" fillId="0" borderId="0" xfId="0" applyFont="1"/>
    <xf numFmtId="0" fontId="0" fillId="0" borderId="0" xfId="0" applyFont="1"/>
    <xf numFmtId="0" fontId="28" fillId="0" borderId="0" xfId="0" applyFont="1" applyAlignment="1">
      <alignment wrapText="1"/>
    </xf>
    <xf numFmtId="0" fontId="0" fillId="0" borderId="0" xfId="0" applyFont="1" applyAlignment="1">
      <alignment wrapText="1"/>
    </xf>
    <xf numFmtId="0" fontId="25" fillId="0" borderId="0" xfId="0" applyFont="1" applyFill="1" applyBorder="1" applyAlignment="1">
      <alignment wrapText="1"/>
    </xf>
    <xf numFmtId="168" fontId="27" fillId="0" borderId="0" xfId="0" applyNumberFormat="1" applyFont="1" applyAlignment="1">
      <alignment horizontal="right" wrapText="1"/>
    </xf>
    <xf numFmtId="2" fontId="23" fillId="0" borderId="0" xfId="0" applyNumberFormat="1" applyFont="1" applyFill="1" applyBorder="1" applyAlignment="1">
      <alignment wrapText="1"/>
    </xf>
    <xf numFmtId="0" fontId="28" fillId="0" borderId="0" xfId="0" applyFont="1" applyFill="1" applyBorder="1" applyAlignment="1">
      <alignment wrapText="1"/>
    </xf>
    <xf numFmtId="0" fontId="0" fillId="0" borderId="0" xfId="0" applyFont="1" applyAlignment="1">
      <alignment horizontal="right"/>
    </xf>
    <xf numFmtId="0" fontId="0" fillId="0" borderId="0" xfId="0" applyFont="1" applyAlignment="1">
      <alignment horizontal="left"/>
    </xf>
    <xf numFmtId="2" fontId="22" fillId="0" borderId="0" xfId="0" applyNumberFormat="1" applyFont="1"/>
    <xf numFmtId="0" fontId="26" fillId="0" borderId="0" xfId="0" applyFont="1"/>
    <xf numFmtId="0" fontId="0" fillId="0" borderId="0" xfId="0" applyFont="1" applyAlignment="1"/>
    <xf numFmtId="0" fontId="18" fillId="0" borderId="0" xfId="0" applyFont="1" applyAlignment="1">
      <alignment horizontal="left"/>
    </xf>
    <xf numFmtId="0" fontId="28" fillId="0" borderId="0" xfId="0" applyFont="1" applyBorder="1" applyAlignment="1"/>
    <xf numFmtId="0" fontId="25" fillId="0" borderId="0" xfId="0" applyFont="1" applyBorder="1" applyAlignment="1"/>
    <xf numFmtId="0" fontId="33" fillId="0" borderId="0" xfId="0" applyFont="1" applyBorder="1" applyAlignment="1"/>
    <xf numFmtId="164" fontId="22" fillId="0" borderId="0" xfId="0" applyNumberFormat="1" applyFont="1" applyAlignment="1">
      <alignment horizontal="right"/>
    </xf>
    <xf numFmtId="164" fontId="23" fillId="0" borderId="0" xfId="0" applyNumberFormat="1" applyFont="1" applyAlignment="1">
      <alignment horizontal="right"/>
    </xf>
    <xf numFmtId="3" fontId="23" fillId="0" borderId="0" xfId="0" applyNumberFormat="1" applyFont="1"/>
    <xf numFmtId="4" fontId="23" fillId="0" borderId="0" xfId="0" applyNumberFormat="1" applyFont="1"/>
    <xf numFmtId="167" fontId="27" fillId="0" borderId="0" xfId="0" applyNumberFormat="1" applyFont="1"/>
    <xf numFmtId="0" fontId="26" fillId="0" borderId="0" xfId="0" applyFont="1" applyFill="1"/>
    <xf numFmtId="0" fontId="26" fillId="0" borderId="0" xfId="0" applyFont="1" applyFill="1" applyAlignment="1">
      <alignment horizontal="center"/>
    </xf>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0" fillId="0" borderId="1" xfId="0" applyBorder="1" applyAlignment="1">
      <alignment horizontal="left" vertical="center" wrapText="1"/>
    </xf>
    <xf numFmtId="0" fontId="34" fillId="0" borderId="0" xfId="0" applyFont="1" applyBorder="1" applyAlignment="1"/>
    <xf numFmtId="0" fontId="0" fillId="0" borderId="0" xfId="0" applyAlignment="1">
      <alignment vertical="top" wrapText="1"/>
    </xf>
    <xf numFmtId="0" fontId="24" fillId="2" borderId="0" xfId="0" applyFont="1" applyFill="1" applyProtection="1">
      <protection locked="0"/>
    </xf>
    <xf numFmtId="0" fontId="0" fillId="0" borderId="0" xfId="0" applyFont="1" applyProtection="1">
      <protection locked="0"/>
    </xf>
    <xf numFmtId="0" fontId="0" fillId="0" borderId="0" xfId="0" applyFont="1" applyFill="1" applyProtection="1">
      <protection locked="0"/>
    </xf>
    <xf numFmtId="0" fontId="24" fillId="0" borderId="0" xfId="0" applyFont="1" applyFill="1" applyProtection="1">
      <protection locked="0"/>
    </xf>
    <xf numFmtId="1" fontId="24" fillId="2" borderId="0" xfId="0" applyNumberFormat="1" applyFont="1" applyFill="1" applyAlignment="1" applyProtection="1">
      <alignment wrapText="1"/>
      <protection locked="0"/>
    </xf>
    <xf numFmtId="3" fontId="24" fillId="0" borderId="0" xfId="0" applyNumberFormat="1" applyFont="1" applyFill="1" applyProtection="1">
      <protection locked="0"/>
    </xf>
    <xf numFmtId="1" fontId="27" fillId="0" borderId="0" xfId="0" applyNumberFormat="1" applyFont="1" applyFill="1" applyBorder="1" applyAlignment="1" applyProtection="1">
      <alignment wrapText="1"/>
      <protection locked="0"/>
    </xf>
    <xf numFmtId="165" fontId="27" fillId="0" borderId="0" xfId="0" applyNumberFormat="1" applyFont="1" applyAlignment="1" applyProtection="1">
      <alignment horizontal="right" wrapText="1"/>
      <protection locked="0"/>
    </xf>
    <xf numFmtId="168" fontId="27" fillId="0" borderId="0" xfId="0" applyNumberFormat="1" applyFont="1" applyAlignment="1" applyProtection="1">
      <alignment horizontal="right" wrapText="1"/>
      <protection locked="0"/>
    </xf>
    <xf numFmtId="164" fontId="27" fillId="0" borderId="0" xfId="0" applyNumberFormat="1" applyFont="1" applyAlignment="1" applyProtection="1">
      <alignment horizontal="right" wrapText="1"/>
      <protection locked="0"/>
    </xf>
    <xf numFmtId="0" fontId="27" fillId="0" borderId="0" xfId="0" applyFont="1" applyProtection="1">
      <protection locked="0"/>
    </xf>
    <xf numFmtId="166" fontId="27" fillId="0" borderId="0" xfId="0" applyNumberFormat="1" applyFont="1" applyProtection="1">
      <protection locked="0"/>
    </xf>
    <xf numFmtId="3" fontId="27" fillId="0" borderId="0" xfId="0" applyNumberFormat="1" applyFont="1" applyProtection="1">
      <protection locked="0"/>
    </xf>
    <xf numFmtId="167" fontId="27" fillId="0" borderId="0" xfId="0" applyNumberFormat="1" applyFont="1" applyProtection="1">
      <protection locked="0"/>
    </xf>
    <xf numFmtId="0" fontId="36" fillId="0" borderId="0" xfId="0" applyFont="1" applyProtection="1">
      <protection locked="0"/>
    </xf>
    <xf numFmtId="0" fontId="45" fillId="0" borderId="0" xfId="0" applyFont="1" applyAlignment="1">
      <alignment horizontal="left" vertical="top"/>
    </xf>
    <xf numFmtId="0" fontId="46" fillId="0" borderId="0" xfId="0" applyFont="1" applyAlignment="1">
      <alignment horizontal="left" vertical="top"/>
    </xf>
    <xf numFmtId="0" fontId="0" fillId="0" borderId="0" xfId="0" applyFont="1" applyAlignment="1">
      <alignment horizontal="left" vertical="top"/>
    </xf>
    <xf numFmtId="0" fontId="18" fillId="0" borderId="0" xfId="0" applyFont="1" applyFill="1" applyProtection="1">
      <protection locked="0"/>
    </xf>
    <xf numFmtId="0" fontId="26" fillId="0" borderId="0" xfId="0" applyFont="1" applyAlignment="1">
      <alignment wrapText="1"/>
    </xf>
    <xf numFmtId="4" fontId="22" fillId="0" borderId="0" xfId="0" applyNumberFormat="1" applyFont="1"/>
    <xf numFmtId="0" fontId="0" fillId="0" borderId="0" xfId="0" applyFont="1" applyProtection="1"/>
    <xf numFmtId="2" fontId="22" fillId="0" borderId="0" xfId="0" applyNumberFormat="1" applyFont="1" applyProtection="1"/>
    <xf numFmtId="164" fontId="23" fillId="0" borderId="0" xfId="0" applyNumberFormat="1" applyFont="1" applyProtection="1"/>
    <xf numFmtId="0" fontId="20" fillId="0" borderId="0" xfId="0" applyFont="1" applyProtection="1"/>
    <xf numFmtId="0" fontId="0" fillId="0" borderId="0" xfId="0" applyProtection="1"/>
    <xf numFmtId="0" fontId="22" fillId="0" borderId="0" xfId="0" applyFont="1" applyProtection="1"/>
    <xf numFmtId="2" fontId="23" fillId="0" borderId="0" xfId="0" applyNumberFormat="1" applyFont="1" applyProtection="1"/>
    <xf numFmtId="0" fontId="0" fillId="0" borderId="0" xfId="0" applyFont="1" applyAlignment="1" applyProtection="1">
      <alignment horizontal="right"/>
    </xf>
    <xf numFmtId="0" fontId="18" fillId="0" borderId="0" xfId="0" applyFont="1" applyProtection="1"/>
    <xf numFmtId="0" fontId="26" fillId="0" borderId="0" xfId="0" applyFont="1" applyProtection="1"/>
    <xf numFmtId="0" fontId="28" fillId="0" borderId="0" xfId="0" applyFont="1" applyAlignment="1" applyProtection="1">
      <alignment wrapText="1"/>
    </xf>
    <xf numFmtId="0" fontId="25" fillId="0" borderId="0" xfId="0" applyFont="1" applyFill="1" applyBorder="1" applyAlignment="1" applyProtection="1">
      <alignment wrapText="1"/>
    </xf>
    <xf numFmtId="2" fontId="22" fillId="0" borderId="0" xfId="0" applyNumberFormat="1" applyFont="1" applyFill="1" applyBorder="1" applyAlignment="1" applyProtection="1">
      <alignment wrapText="1"/>
    </xf>
    <xf numFmtId="0" fontId="0" fillId="0" borderId="0" xfId="0" applyFont="1" applyFill="1" applyProtection="1"/>
    <xf numFmtId="0" fontId="28" fillId="0" borderId="0" xfId="0" applyFont="1" applyProtection="1"/>
    <xf numFmtId="0" fontId="19" fillId="0" borderId="0" xfId="0" applyFont="1" applyProtection="1"/>
    <xf numFmtId="3" fontId="22" fillId="0" borderId="0" xfId="0" applyNumberFormat="1" applyFont="1" applyFill="1" applyBorder="1" applyAlignment="1" applyProtection="1">
      <alignment wrapText="1"/>
    </xf>
    <xf numFmtId="0" fontId="32" fillId="0" borderId="0" xfId="0" applyFont="1" applyAlignment="1" applyProtection="1">
      <alignment wrapText="1"/>
    </xf>
    <xf numFmtId="0" fontId="0" fillId="0" borderId="0" xfId="0" applyFont="1" applyAlignment="1" applyProtection="1">
      <alignment horizontal="right" wrapText="1"/>
    </xf>
    <xf numFmtId="3" fontId="23" fillId="0" borderId="0" xfId="0" applyNumberFormat="1" applyFont="1" applyProtection="1"/>
    <xf numFmtId="0" fontId="25" fillId="0" borderId="0" xfId="0" applyFont="1" applyFill="1" applyBorder="1" applyAlignment="1" applyProtection="1">
      <alignment horizontal="right"/>
    </xf>
    <xf numFmtId="164" fontId="21" fillId="0" borderId="0" xfId="0" applyNumberFormat="1" applyFont="1" applyProtection="1"/>
    <xf numFmtId="2" fontId="21" fillId="0" borderId="0" xfId="0" applyNumberFormat="1" applyFont="1" applyProtection="1"/>
    <xf numFmtId="0" fontId="0" fillId="0" borderId="0" xfId="0" applyFont="1" applyFill="1" applyBorder="1" applyAlignment="1" applyProtection="1">
      <alignment horizontal="right"/>
    </xf>
    <xf numFmtId="1" fontId="22" fillId="0" borderId="0" xfId="0" applyNumberFormat="1" applyFont="1" applyProtection="1"/>
    <xf numFmtId="0" fontId="25" fillId="0" borderId="0" xfId="0" applyFont="1" applyProtection="1"/>
    <xf numFmtId="0" fontId="0" fillId="0" borderId="0" xfId="0" applyFill="1" applyProtection="1"/>
    <xf numFmtId="0" fontId="24" fillId="0" borderId="0" xfId="0" applyFont="1" applyFill="1" applyAlignment="1" applyProtection="1">
      <alignment horizontal="right"/>
    </xf>
    <xf numFmtId="1" fontId="31" fillId="0" borderId="0" xfId="0" applyNumberFormat="1" applyFont="1" applyAlignment="1" applyProtection="1">
      <alignment wrapText="1"/>
    </xf>
    <xf numFmtId="0" fontId="0" fillId="0" borderId="0" xfId="0" applyFont="1" applyFill="1" applyAlignment="1" applyProtection="1">
      <alignment horizontal="right"/>
    </xf>
    <xf numFmtId="2" fontId="23" fillId="0" borderId="0" xfId="0" applyNumberFormat="1" applyFont="1" applyFill="1" applyProtection="1"/>
    <xf numFmtId="166" fontId="23" fillId="0" borderId="0" xfId="0" applyNumberFormat="1" applyFont="1" applyFill="1" applyProtection="1"/>
    <xf numFmtId="0" fontId="0" fillId="0" borderId="0" xfId="0" applyFont="1" applyAlignment="1" applyProtection="1">
      <alignment horizontal="right"/>
      <protection locked="0"/>
    </xf>
    <xf numFmtId="166" fontId="23" fillId="0" borderId="0" xfId="0" applyNumberFormat="1" applyFont="1" applyFill="1" applyProtection="1">
      <protection locked="0"/>
    </xf>
    <xf numFmtId="3" fontId="23" fillId="0" borderId="0" xfId="0" applyNumberFormat="1" applyFont="1" applyFill="1" applyProtection="1">
      <protection locked="0"/>
    </xf>
    <xf numFmtId="0" fontId="37" fillId="0" borderId="0" xfId="0" applyFont="1" applyProtection="1">
      <protection locked="0"/>
    </xf>
    <xf numFmtId="0" fontId="0" fillId="0" borderId="0" xfId="0" applyBorder="1" applyAlignment="1"/>
    <xf numFmtId="0" fontId="28" fillId="0" borderId="0" xfId="0" applyFont="1" applyFill="1" applyProtection="1"/>
    <xf numFmtId="0" fontId="25" fillId="0" borderId="0" xfId="0" applyFont="1" applyFill="1" applyAlignment="1" applyProtection="1">
      <alignment wrapText="1"/>
    </xf>
    <xf numFmtId="0" fontId="20" fillId="0" borderId="0" xfId="0" applyFont="1" applyFill="1" applyProtection="1"/>
    <xf numFmtId="0" fontId="33" fillId="0" borderId="0" xfId="0" applyFont="1" applyFill="1" applyProtection="1"/>
    <xf numFmtId="0" fontId="0" fillId="0" borderId="0" xfId="0" applyFont="1" applyFill="1" applyAlignment="1" applyProtection="1">
      <alignment vertical="top" wrapText="1"/>
    </xf>
    <xf numFmtId="0" fontId="23" fillId="0" borderId="0" xfId="0" applyFont="1" applyFill="1" applyProtection="1"/>
    <xf numFmtId="2" fontId="22" fillId="0" borderId="0" xfId="0" applyNumberFormat="1" applyFont="1" applyFill="1" applyProtection="1"/>
    <xf numFmtId="164" fontId="23" fillId="0" borderId="0" xfId="0" applyNumberFormat="1" applyFont="1" applyFill="1" applyProtection="1"/>
    <xf numFmtId="0" fontId="22" fillId="0" borderId="0" xfId="0" applyFont="1" applyFill="1" applyProtection="1"/>
    <xf numFmtId="1" fontId="23" fillId="0" borderId="0" xfId="0" applyNumberFormat="1" applyFont="1" applyFill="1" applyProtection="1"/>
    <xf numFmtId="0" fontId="0" fillId="0" borderId="0" xfId="0" applyFill="1" applyAlignment="1" applyProtection="1">
      <alignment horizontal="right"/>
    </xf>
    <xf numFmtId="3" fontId="23" fillId="0" borderId="0" xfId="0" applyNumberFormat="1" applyFont="1" applyFill="1" applyAlignment="1" applyProtection="1">
      <alignment horizontal="right"/>
    </xf>
    <xf numFmtId="1" fontId="22" fillId="0" borderId="0" xfId="0" applyNumberFormat="1" applyFont="1" applyFill="1" applyBorder="1" applyProtection="1"/>
    <xf numFmtId="0" fontId="18" fillId="0" borderId="0" xfId="0" applyFont="1" applyFill="1" applyProtection="1"/>
    <xf numFmtId="2" fontId="21" fillId="0" borderId="0" xfId="0" applyNumberFormat="1" applyFont="1" applyFill="1" applyProtection="1"/>
    <xf numFmtId="0" fontId="0" fillId="0" borderId="0" xfId="0" applyFont="1" applyFill="1" applyAlignment="1" applyProtection="1">
      <alignment horizontal="left" wrapText="1"/>
    </xf>
    <xf numFmtId="0" fontId="25" fillId="0" borderId="0" xfId="0" applyFont="1" applyFill="1" applyProtection="1"/>
    <xf numFmtId="0" fontId="22" fillId="0" borderId="0" xfId="0" applyFont="1" applyFill="1" applyBorder="1" applyAlignment="1" applyProtection="1">
      <alignment horizontal="right"/>
    </xf>
    <xf numFmtId="3" fontId="22" fillId="0" borderId="0" xfId="0" applyNumberFormat="1" applyFont="1" applyFill="1" applyProtection="1"/>
    <xf numFmtId="0" fontId="25" fillId="0" borderId="0" xfId="0" applyFont="1" applyFill="1" applyBorder="1" applyAlignment="1" applyProtection="1">
      <alignment horizontal="left"/>
    </xf>
    <xf numFmtId="1" fontId="19" fillId="0" borderId="0" xfId="0" applyNumberFormat="1" applyFont="1" applyFill="1" applyBorder="1" applyAlignment="1" applyProtection="1">
      <alignment horizontal="right"/>
    </xf>
    <xf numFmtId="0" fontId="19" fillId="0" borderId="0" xfId="0" applyFont="1" applyFill="1" applyBorder="1" applyAlignment="1" applyProtection="1">
      <alignment horizontal="right"/>
    </xf>
    <xf numFmtId="0" fontId="0" fillId="0" borderId="0" xfId="0" applyFill="1" applyAlignment="1" applyProtection="1">
      <alignment horizontal="left"/>
    </xf>
    <xf numFmtId="3" fontId="22" fillId="0" borderId="0" xfId="0" applyNumberFormat="1" applyFont="1" applyFill="1" applyBorder="1" applyAlignment="1" applyProtection="1">
      <alignment horizontal="right"/>
    </xf>
    <xf numFmtId="1" fontId="21" fillId="0" borderId="0" xfId="0" applyNumberFormat="1" applyFont="1" applyFill="1" applyBorder="1" applyAlignment="1" applyProtection="1">
      <alignment horizontal="right"/>
    </xf>
    <xf numFmtId="3" fontId="22" fillId="0" borderId="0" xfId="0" applyNumberFormat="1" applyFont="1" applyFill="1" applyBorder="1" applyProtection="1"/>
    <xf numFmtId="164" fontId="21" fillId="0" borderId="0" xfId="0" applyNumberFormat="1" applyFont="1" applyFill="1" applyProtection="1"/>
    <xf numFmtId="0" fontId="0" fillId="0" borderId="0" xfId="0" applyFont="1" applyFill="1" applyAlignment="1" applyProtection="1">
      <alignment horizontal="right" wrapText="1"/>
    </xf>
    <xf numFmtId="164" fontId="23" fillId="0" borderId="0" xfId="0" applyNumberFormat="1" applyFont="1" applyFill="1" applyProtection="1">
      <protection locked="0"/>
    </xf>
    <xf numFmtId="0" fontId="29" fillId="0" borderId="0" xfId="0" applyFont="1" applyFill="1" applyProtection="1"/>
    <xf numFmtId="0" fontId="0" fillId="0" borderId="0" xfId="0" applyFill="1" applyAlignment="1" applyProtection="1"/>
    <xf numFmtId="2" fontId="25" fillId="0" borderId="0" xfId="0" applyNumberFormat="1" applyFont="1" applyFill="1" applyBorder="1" applyProtection="1"/>
    <xf numFmtId="0" fontId="35" fillId="0" borderId="0" xfId="0" applyFont="1" applyFill="1" applyProtection="1"/>
    <xf numFmtId="4" fontId="23" fillId="0" borderId="0" xfId="0" applyNumberFormat="1" applyFont="1" applyFill="1" applyProtection="1"/>
    <xf numFmtId="166" fontId="22" fillId="0" borderId="0" xfId="0" applyNumberFormat="1" applyFont="1" applyFill="1" applyProtection="1"/>
    <xf numFmtId="167" fontId="22" fillId="0" borderId="0" xfId="0" applyNumberFormat="1" applyFont="1" applyFill="1" applyProtection="1"/>
    <xf numFmtId="3" fontId="0" fillId="0" borderId="0" xfId="0" applyNumberFormat="1"/>
    <xf numFmtId="0" fontId="27" fillId="0" borderId="0" xfId="0" applyFont="1" applyFill="1" applyBorder="1" applyAlignment="1" applyProtection="1">
      <alignment wrapText="1"/>
      <protection locked="0"/>
    </xf>
    <xf numFmtId="2" fontId="27" fillId="0" borderId="0" xfId="0" applyNumberFormat="1" applyFont="1" applyFill="1" applyBorder="1" applyAlignment="1" applyProtection="1">
      <alignment wrapText="1"/>
      <protection locked="0"/>
    </xf>
    <xf numFmtId="0" fontId="0" fillId="0" borderId="0" xfId="0" applyFont="1" applyFill="1"/>
    <xf numFmtId="2" fontId="47" fillId="0" borderId="0" xfId="0" applyNumberFormat="1" applyFont="1" applyFill="1" applyProtection="1"/>
    <xf numFmtId="1" fontId="23" fillId="0" borderId="0" xfId="0" applyNumberFormat="1" applyFont="1" applyProtection="1"/>
    <xf numFmtId="3" fontId="24" fillId="0" borderId="0" xfId="0" applyNumberFormat="1" applyFont="1" applyFill="1" applyBorder="1" applyAlignment="1" applyProtection="1">
      <alignment horizontal="right"/>
    </xf>
    <xf numFmtId="0" fontId="23" fillId="0" borderId="0" xfId="0" applyFont="1" applyProtection="1"/>
    <xf numFmtId="4" fontId="0" fillId="0" borderId="0" xfId="0" applyNumberFormat="1"/>
    <xf numFmtId="0" fontId="25" fillId="5" borderId="0" xfId="0" applyFont="1" applyFill="1" applyAlignment="1" applyProtection="1">
      <alignment wrapText="1"/>
    </xf>
    <xf numFmtId="3" fontId="48" fillId="5" borderId="0" xfId="0" applyNumberFormat="1" applyFont="1" applyFill="1" applyProtection="1">
      <protection locked="0"/>
    </xf>
    <xf numFmtId="0" fontId="0" fillId="6" borderId="0" xfId="0" applyFont="1" applyFill="1" applyProtection="1"/>
    <xf numFmtId="164" fontId="23" fillId="6" borderId="0" xfId="0" applyNumberFormat="1" applyFont="1" applyFill="1" applyProtection="1"/>
    <xf numFmtId="2" fontId="23" fillId="6" borderId="0" xfId="0" applyNumberFormat="1" applyFont="1" applyFill="1" applyProtection="1"/>
    <xf numFmtId="0" fontId="0" fillId="6" borderId="0" xfId="0" applyFill="1" applyProtection="1"/>
    <xf numFmtId="0" fontId="0" fillId="0" borderId="0" xfId="0" applyFill="1"/>
    <xf numFmtId="0" fontId="27" fillId="0" borderId="0" xfId="0" applyFont="1" applyFill="1" applyBorder="1"/>
    <xf numFmtId="164" fontId="27" fillId="0" borderId="0" xfId="0" applyNumberFormat="1" applyFont="1" applyFill="1" applyBorder="1"/>
    <xf numFmtId="0" fontId="37" fillId="6" borderId="0" xfId="0" applyFont="1" applyFill="1" applyProtection="1"/>
    <xf numFmtId="0" fontId="22" fillId="6" borderId="0" xfId="0" applyFont="1" applyFill="1" applyProtection="1"/>
    <xf numFmtId="0" fontId="0" fillId="6" borderId="0" xfId="0" applyFont="1" applyFill="1" applyAlignment="1" applyProtection="1">
      <alignment horizontal="right"/>
    </xf>
    <xf numFmtId="0" fontId="23" fillId="6" borderId="0" xfId="0" applyFont="1" applyFill="1" applyProtection="1"/>
    <xf numFmtId="3" fontId="23" fillId="6" borderId="0" xfId="0" applyNumberFormat="1" applyFont="1" applyFill="1" applyProtection="1">
      <protection locked="0"/>
    </xf>
    <xf numFmtId="1" fontId="22" fillId="6" borderId="0" xfId="0" applyNumberFormat="1" applyFont="1" applyFill="1" applyProtection="1"/>
    <xf numFmtId="0" fontId="26" fillId="6" borderId="0" xfId="0" applyFont="1" applyFill="1" applyProtection="1"/>
    <xf numFmtId="0" fontId="0" fillId="6" borderId="0" xfId="0" applyFont="1" applyFill="1" applyAlignment="1" applyProtection="1">
      <alignment horizontal="left" wrapText="1"/>
    </xf>
    <xf numFmtId="2" fontId="21" fillId="6" borderId="0" xfId="0" applyNumberFormat="1" applyFont="1" applyFill="1" applyProtection="1"/>
    <xf numFmtId="0" fontId="0" fillId="6" borderId="0" xfId="0" applyFill="1" applyAlignment="1" applyProtection="1">
      <alignment horizontal="right"/>
    </xf>
    <xf numFmtId="3" fontId="24" fillId="6" borderId="0" xfId="0" applyNumberFormat="1" applyFont="1" applyFill="1" applyProtection="1">
      <protection locked="0"/>
    </xf>
    <xf numFmtId="166" fontId="23" fillId="6" borderId="0" xfId="0" applyNumberFormat="1" applyFont="1" applyFill="1" applyProtection="1"/>
    <xf numFmtId="0" fontId="24" fillId="6" borderId="0" xfId="0" applyFont="1" applyFill="1" applyProtection="1"/>
    <xf numFmtId="0" fontId="37" fillId="6" borderId="0" xfId="0" applyFont="1" applyFill="1" applyProtection="1">
      <protection locked="0"/>
    </xf>
    <xf numFmtId="0" fontId="30" fillId="6" borderId="0" xfId="0" applyFont="1" applyFill="1" applyAlignment="1" applyProtection="1">
      <alignment horizontal="left" wrapText="1"/>
    </xf>
    <xf numFmtId="2" fontId="22" fillId="6" borderId="0" xfId="0" applyNumberFormat="1" applyFont="1" applyFill="1" applyProtection="1"/>
    <xf numFmtId="1" fontId="24" fillId="6" borderId="0" xfId="0" applyNumberFormat="1" applyFont="1" applyFill="1" applyProtection="1"/>
    <xf numFmtId="0" fontId="21" fillId="6" borderId="0" xfId="0" applyFont="1" applyFill="1" applyProtection="1">
      <protection locked="0"/>
    </xf>
    <xf numFmtId="0" fontId="34" fillId="6" borderId="0" xfId="0" applyFont="1" applyFill="1" applyProtection="1">
      <protection locked="0"/>
    </xf>
    <xf numFmtId="0" fontId="0" fillId="6" borderId="0" xfId="0" applyFont="1" applyFill="1" applyAlignment="1" applyProtection="1">
      <alignment horizontal="right"/>
      <protection locked="0"/>
    </xf>
    <xf numFmtId="1" fontId="22" fillId="6" borderId="0" xfId="0" applyNumberFormat="1" applyFont="1" applyFill="1" applyBorder="1" applyProtection="1"/>
    <xf numFmtId="0" fontId="33" fillId="6" borderId="0" xfId="0" applyFont="1" applyFill="1" applyProtection="1"/>
    <xf numFmtId="0" fontId="0" fillId="6" borderId="0" xfId="0" applyFont="1" applyFill="1" applyAlignment="1" applyProtection="1">
      <alignment vertical="top" wrapText="1"/>
    </xf>
    <xf numFmtId="1" fontId="23" fillId="6" borderId="0" xfId="0" applyNumberFormat="1" applyFont="1" applyFill="1" applyAlignment="1" applyProtection="1">
      <alignment horizontal="right"/>
    </xf>
    <xf numFmtId="0" fontId="18" fillId="0" borderId="0" xfId="0" applyFont="1" applyFill="1" applyAlignment="1" applyProtection="1"/>
    <xf numFmtId="0" fontId="0" fillId="0" borderId="0" xfId="0" applyFill="1" applyAlignment="1">
      <alignment wrapText="1"/>
    </xf>
    <xf numFmtId="166" fontId="27" fillId="0" borderId="0" xfId="0" applyNumberFormat="1" applyFont="1" applyFill="1" applyProtection="1">
      <protection locked="0"/>
    </xf>
    <xf numFmtId="3" fontId="27" fillId="0" borderId="0" xfId="0" applyNumberFormat="1" applyFont="1" applyFill="1" applyProtection="1">
      <protection locked="0"/>
    </xf>
    <xf numFmtId="167" fontId="27" fillId="0" borderId="0" xfId="0" applyNumberFormat="1" applyFont="1" applyFill="1" applyProtection="1">
      <protection locked="0"/>
    </xf>
    <xf numFmtId="0" fontId="27" fillId="0" borderId="0" xfId="0" applyFont="1" applyFill="1"/>
    <xf numFmtId="0" fontId="44" fillId="0" borderId="0" xfId="0" applyFont="1"/>
    <xf numFmtId="164" fontId="0" fillId="0" borderId="0" xfId="0" applyNumberFormat="1"/>
    <xf numFmtId="0" fontId="24" fillId="2" borderId="0" xfId="0" applyFont="1" applyFill="1"/>
    <xf numFmtId="168" fontId="23" fillId="0" borderId="0" xfId="0" applyNumberFormat="1" applyFont="1" applyFill="1" applyProtection="1"/>
    <xf numFmtId="0" fontId="0" fillId="0" borderId="0" xfId="0" applyAlignment="1">
      <alignment vertical="center"/>
    </xf>
    <xf numFmtId="0" fontId="0" fillId="0" borderId="16" xfId="0" applyBorder="1"/>
    <xf numFmtId="0" fontId="23" fillId="0" borderId="0" xfId="0" applyFont="1" applyFill="1" applyAlignment="1" applyProtection="1">
      <alignment horizontal="right"/>
    </xf>
    <xf numFmtId="0" fontId="23" fillId="0" borderId="0" xfId="0" applyFont="1" applyFill="1" applyAlignment="1" applyProtection="1">
      <alignment horizontal="right"/>
      <protection locked="0"/>
    </xf>
    <xf numFmtId="0" fontId="23" fillId="0" borderId="0" xfId="0" applyFont="1" applyFill="1" applyBorder="1" applyAlignment="1" applyProtection="1">
      <alignment horizontal="right" wrapText="1"/>
    </xf>
    <xf numFmtId="0" fontId="0" fillId="2" borderId="16" xfId="0" applyFill="1" applyBorder="1"/>
    <xf numFmtId="0" fontId="28" fillId="0" borderId="0" xfId="0" applyFont="1" applyFill="1" applyBorder="1" applyAlignment="1" applyProtection="1">
      <alignment wrapText="1"/>
    </xf>
    <xf numFmtId="0" fontId="28" fillId="0" borderId="0" xfId="0" applyFont="1" applyProtection="1">
      <protection locked="0"/>
    </xf>
    <xf numFmtId="0" fontId="7" fillId="0" borderId="0" xfId="0" applyFont="1" applyAlignment="1" applyProtection="1">
      <alignment wrapText="1"/>
    </xf>
    <xf numFmtId="0" fontId="25" fillId="0" borderId="0" xfId="0" applyFont="1" applyFill="1" applyBorder="1" applyAlignment="1" applyProtection="1">
      <alignment vertical="center" wrapText="1"/>
    </xf>
    <xf numFmtId="4" fontId="23" fillId="0" borderId="0" xfId="0" applyNumberFormat="1" applyFont="1" applyProtection="1"/>
    <xf numFmtId="0" fontId="22" fillId="0" borderId="1" xfId="0" applyFont="1" applyBorder="1"/>
    <xf numFmtId="2" fontId="22" fillId="0" borderId="18" xfId="0" applyNumberFormat="1" applyFont="1" applyBorder="1"/>
    <xf numFmtId="0" fontId="24" fillId="2" borderId="1" xfId="0" applyFont="1" applyFill="1" applyBorder="1"/>
    <xf numFmtId="0" fontId="24" fillId="2" borderId="19" xfId="0" applyFont="1" applyFill="1" applyBorder="1"/>
    <xf numFmtId="0" fontId="22" fillId="0" borderId="20" xfId="0" applyFont="1" applyBorder="1"/>
    <xf numFmtId="0" fontId="0" fillId="0" borderId="14" xfId="0" applyBorder="1"/>
    <xf numFmtId="0" fontId="22" fillId="0" borderId="0" xfId="0" applyFont="1" applyFill="1" applyAlignment="1" applyProtection="1">
      <alignment horizontal="right"/>
    </xf>
    <xf numFmtId="0" fontId="22" fillId="0" borderId="0" xfId="0" applyFont="1" applyFill="1" applyAlignment="1" applyProtection="1">
      <alignment horizontal="right"/>
      <protection locked="0"/>
    </xf>
    <xf numFmtId="0" fontId="0" fillId="0" borderId="0" xfId="0" applyFont="1" applyBorder="1" applyProtection="1">
      <protection locked="0"/>
    </xf>
    <xf numFmtId="3" fontId="48" fillId="5" borderId="0" xfId="0" applyNumberFormat="1" applyFont="1" applyFill="1" applyBorder="1" applyProtection="1">
      <protection locked="0"/>
    </xf>
    <xf numFmtId="164" fontId="23" fillId="0" borderId="0" xfId="0" applyNumberFormat="1" applyFont="1" applyFill="1" applyBorder="1" applyProtection="1"/>
    <xf numFmtId="0" fontId="22" fillId="0" borderId="0" xfId="0" applyFont="1" applyFill="1" applyBorder="1" applyProtection="1">
      <protection locked="0"/>
    </xf>
    <xf numFmtId="166" fontId="23" fillId="0" borderId="0" xfId="0" applyNumberFormat="1" applyFont="1" applyFill="1" applyBorder="1" applyProtection="1"/>
    <xf numFmtId="0" fontId="0" fillId="0" borderId="0" xfId="0" applyFont="1" applyBorder="1" applyProtection="1"/>
    <xf numFmtId="3" fontId="24" fillId="0" borderId="0" xfId="0" applyNumberFormat="1" applyFont="1" applyFill="1" applyBorder="1" applyProtection="1">
      <protection locked="0"/>
    </xf>
    <xf numFmtId="0" fontId="24" fillId="0" borderId="0" xfId="0" applyFont="1" applyFill="1" applyBorder="1" applyAlignment="1" applyProtection="1">
      <alignment horizontal="right"/>
    </xf>
    <xf numFmtId="0" fontId="0" fillId="0" borderId="16" xfId="0" applyFill="1" applyBorder="1" applyAlignment="1" applyProtection="1">
      <alignment horizontal="center"/>
    </xf>
    <xf numFmtId="0" fontId="0" fillId="0" borderId="16" xfId="0" applyFont="1" applyFill="1" applyBorder="1" applyAlignment="1" applyProtection="1">
      <alignment horizontal="center"/>
    </xf>
    <xf numFmtId="0" fontId="0" fillId="0" borderId="16" xfId="0" applyFont="1" applyFill="1" applyBorder="1" applyAlignment="1" applyProtection="1">
      <alignment horizontal="right"/>
    </xf>
    <xf numFmtId="3" fontId="23" fillId="0" borderId="0" xfId="0" applyNumberFormat="1" applyFont="1" applyFill="1" applyBorder="1" applyProtection="1">
      <protection locked="0"/>
    </xf>
    <xf numFmtId="3" fontId="22" fillId="0" borderId="0" xfId="0" applyNumberFormat="1" applyFont="1" applyFill="1"/>
    <xf numFmtId="4" fontId="23" fillId="0" borderId="0" xfId="0" applyNumberFormat="1" applyFont="1" applyFill="1"/>
    <xf numFmtId="3" fontId="23" fillId="0" borderId="0" xfId="0" applyNumberFormat="1" applyFont="1" applyFill="1"/>
    <xf numFmtId="0" fontId="0" fillId="0" borderId="0" xfId="0" applyFill="1" applyBorder="1" applyAlignment="1" applyProtection="1">
      <alignment horizontal="left"/>
    </xf>
    <xf numFmtId="166" fontId="28" fillId="0" borderId="0" xfId="0" applyNumberFormat="1" applyFont="1" applyFill="1" applyAlignment="1" applyProtection="1">
      <alignment horizontal="right"/>
      <protection locked="0"/>
    </xf>
    <xf numFmtId="4" fontId="23" fillId="0" borderId="22" xfId="0" applyNumberFormat="1" applyFont="1" applyFill="1" applyBorder="1" applyProtection="1">
      <protection locked="0"/>
    </xf>
    <xf numFmtId="4" fontId="23" fillId="0" borderId="22" xfId="0" applyNumberFormat="1" applyFont="1" applyFill="1" applyBorder="1" applyProtection="1"/>
    <xf numFmtId="4" fontId="23" fillId="0" borderId="0" xfId="0" applyNumberFormat="1" applyFont="1" applyFill="1" applyProtection="1">
      <protection locked="0"/>
    </xf>
    <xf numFmtId="4" fontId="23" fillId="0" borderId="16" xfId="0" applyNumberFormat="1" applyFont="1" applyFill="1" applyBorder="1" applyProtection="1"/>
    <xf numFmtId="4" fontId="24" fillId="2" borderId="0" xfId="0" applyNumberFormat="1" applyFont="1" applyFill="1" applyProtection="1">
      <protection locked="0"/>
    </xf>
    <xf numFmtId="4" fontId="24" fillId="2" borderId="0" xfId="0" applyNumberFormat="1" applyFont="1" applyFill="1" applyBorder="1" applyAlignment="1" applyProtection="1">
      <alignment horizontal="right"/>
    </xf>
    <xf numFmtId="3" fontId="48" fillId="0" borderId="0" xfId="0" applyNumberFormat="1" applyFont="1" applyFill="1" applyBorder="1" applyProtection="1">
      <protection locked="0"/>
    </xf>
    <xf numFmtId="0" fontId="0" fillId="0" borderId="0" xfId="0" applyFont="1" applyBorder="1"/>
    <xf numFmtId="164" fontId="23" fillId="0" borderId="0" xfId="0" applyNumberFormat="1" applyFont="1" applyBorder="1"/>
    <xf numFmtId="3" fontId="23" fillId="0" borderId="0" xfId="0" applyNumberFormat="1" applyFont="1" applyBorder="1"/>
    <xf numFmtId="1" fontId="27" fillId="0" borderId="0" xfId="0" applyNumberFormat="1" applyFont="1" applyBorder="1" applyProtection="1">
      <protection locked="0"/>
    </xf>
    <xf numFmtId="4" fontId="23" fillId="0" borderId="22" xfId="0" applyNumberFormat="1" applyFont="1" applyBorder="1"/>
    <xf numFmtId="2" fontId="23" fillId="0" borderId="22" xfId="0" applyNumberFormat="1" applyFont="1" applyBorder="1"/>
    <xf numFmtId="3" fontId="25" fillId="0" borderId="0" xfId="0" applyNumberFormat="1" applyFont="1" applyAlignment="1">
      <alignment horizontal="right"/>
    </xf>
    <xf numFmtId="2" fontId="22" fillId="0" borderId="0" xfId="0" applyNumberFormat="1" applyFont="1" applyAlignment="1">
      <alignment horizontal="right"/>
    </xf>
    <xf numFmtId="0" fontId="27" fillId="0" borderId="0" xfId="0" applyFont="1" applyBorder="1"/>
    <xf numFmtId="0" fontId="0" fillId="0" borderId="0" xfId="0" applyBorder="1"/>
    <xf numFmtId="0" fontId="27" fillId="0" borderId="0" xfId="0" applyFont="1" applyBorder="1" applyAlignment="1">
      <alignment wrapText="1"/>
    </xf>
    <xf numFmtId="4" fontId="27" fillId="0" borderId="0" xfId="0" applyNumberFormat="1" applyFont="1" applyBorder="1" applyAlignment="1">
      <alignment horizontal="left"/>
    </xf>
    <xf numFmtId="0" fontId="0" fillId="0" borderId="17" xfId="0" applyBorder="1"/>
    <xf numFmtId="0" fontId="27" fillId="0" borderId="1" xfId="0" applyFont="1" applyBorder="1"/>
    <xf numFmtId="4" fontId="27" fillId="0" borderId="20" xfId="0" applyNumberFormat="1" applyFont="1" applyBorder="1"/>
    <xf numFmtId="0" fontId="27" fillId="0" borderId="19" xfId="0" applyFont="1" applyFill="1" applyBorder="1" applyAlignment="1">
      <alignment horizontal="left"/>
    </xf>
    <xf numFmtId="0" fontId="23" fillId="0" borderId="16" xfId="0" applyFont="1" applyBorder="1" applyProtection="1"/>
    <xf numFmtId="2" fontId="27" fillId="0" borderId="0" xfId="0" applyNumberFormat="1" applyFont="1" applyFill="1" applyBorder="1" applyAlignment="1">
      <alignment wrapText="1"/>
    </xf>
    <xf numFmtId="0" fontId="18" fillId="0" borderId="14" xfId="0" applyFont="1" applyBorder="1"/>
    <xf numFmtId="0" fontId="18" fillId="0" borderId="17" xfId="0" applyFont="1" applyBorder="1" applyAlignment="1">
      <alignment horizontal="right"/>
    </xf>
    <xf numFmtId="0" fontId="18" fillId="0" borderId="15" xfId="0" applyFont="1" applyBorder="1" applyAlignment="1">
      <alignment horizontal="right"/>
    </xf>
    <xf numFmtId="2" fontId="23" fillId="0" borderId="16" xfId="0" applyNumberFormat="1" applyFont="1" applyBorder="1"/>
    <xf numFmtId="2" fontId="0" fillId="0" borderId="0" xfId="0" applyNumberFormat="1" applyFont="1"/>
    <xf numFmtId="0" fontId="0" fillId="0" borderId="0" xfId="0" applyFont="1" applyAlignment="1">
      <alignment vertical="top" wrapText="1"/>
    </xf>
    <xf numFmtId="0" fontId="52" fillId="0" borderId="0" xfId="0" applyFont="1"/>
    <xf numFmtId="0" fontId="19" fillId="0" borderId="0" xfId="0" applyFont="1"/>
    <xf numFmtId="0" fontId="19" fillId="0" borderId="0" xfId="0" applyFont="1" applyFill="1"/>
    <xf numFmtId="0" fontId="51" fillId="0" borderId="0" xfId="0" applyFont="1"/>
    <xf numFmtId="0" fontId="51" fillId="7" borderId="0" xfId="0" applyFont="1" applyFill="1"/>
    <xf numFmtId="0" fontId="18" fillId="0" borderId="0" xfId="0" applyFont="1" applyBorder="1" applyAlignment="1">
      <alignment horizontal="right"/>
    </xf>
    <xf numFmtId="0" fontId="18" fillId="0" borderId="0" xfId="0" applyFont="1" applyAlignment="1">
      <alignment horizontal="right"/>
    </xf>
    <xf numFmtId="0" fontId="0" fillId="0" borderId="0" xfId="0" applyFont="1" applyAlignment="1">
      <alignment horizontal="left" vertical="top" wrapText="1"/>
    </xf>
    <xf numFmtId="0" fontId="54" fillId="0" borderId="0" xfId="0" applyFont="1" applyAlignment="1">
      <alignment horizontal="left" vertical="top" wrapText="1"/>
    </xf>
    <xf numFmtId="0" fontId="18" fillId="0" borderId="22" xfId="0" applyFont="1" applyBorder="1"/>
    <xf numFmtId="0" fontId="18" fillId="0" borderId="0" xfId="0" applyFont="1" applyAlignment="1">
      <alignment wrapText="1"/>
    </xf>
    <xf numFmtId="2" fontId="24" fillId="2" borderId="0" xfId="0" applyNumberFormat="1" applyFont="1" applyFill="1" applyProtection="1"/>
    <xf numFmtId="2" fontId="0" fillId="0" borderId="0" xfId="0" applyNumberFormat="1" applyFont="1" applyProtection="1"/>
    <xf numFmtId="0" fontId="0" fillId="0" borderId="16" xfId="0" applyFont="1" applyBorder="1" applyProtection="1"/>
    <xf numFmtId="4" fontId="27" fillId="0" borderId="21" xfId="0" applyNumberFormat="1" applyFont="1" applyFill="1" applyBorder="1" applyAlignment="1">
      <alignment horizontal="right"/>
    </xf>
    <xf numFmtId="0" fontId="24" fillId="2" borderId="16" xfId="0" applyFont="1" applyFill="1" applyBorder="1"/>
    <xf numFmtId="168" fontId="0" fillId="0" borderId="0" xfId="0" applyNumberFormat="1" applyFont="1" applyBorder="1" applyProtection="1"/>
    <xf numFmtId="0" fontId="0" fillId="0" borderId="10" xfId="0" applyFont="1" applyBorder="1" applyProtection="1"/>
    <xf numFmtId="0" fontId="18" fillId="0" borderId="0" xfId="0" applyFont="1"/>
    <xf numFmtId="0" fontId="0" fillId="0" borderId="0" xfId="0" applyFont="1"/>
    <xf numFmtId="0" fontId="0" fillId="0" borderId="0" xfId="0"/>
    <xf numFmtId="164" fontId="0" fillId="0" borderId="0" xfId="0" applyNumberFormat="1" applyFill="1" applyProtection="1"/>
    <xf numFmtId="0" fontId="0" fillId="2" borderId="10" xfId="0" applyFill="1" applyBorder="1"/>
    <xf numFmtId="0" fontId="0" fillId="0" borderId="0" xfId="0" applyFont="1"/>
    <xf numFmtId="0" fontId="0" fillId="0" borderId="0" xfId="0"/>
    <xf numFmtId="2" fontId="23" fillId="0" borderId="16" xfId="0" applyNumberFormat="1" applyFont="1" applyFill="1" applyBorder="1"/>
    <xf numFmtId="0" fontId="18" fillId="0" borderId="16" xfId="0" applyFont="1" applyBorder="1" applyAlignment="1">
      <alignment horizontal="right"/>
    </xf>
    <xf numFmtId="0" fontId="18" fillId="0" borderId="16" xfId="0" applyFont="1" applyBorder="1" applyAlignment="1">
      <alignment horizontal="right" wrapText="1"/>
    </xf>
    <xf numFmtId="0" fontId="18" fillId="0" borderId="10" xfId="0" applyFont="1" applyBorder="1" applyAlignment="1"/>
    <xf numFmtId="2" fontId="23" fillId="0" borderId="18" xfId="0" applyNumberFormat="1" applyFont="1" applyFill="1" applyBorder="1"/>
    <xf numFmtId="0" fontId="23" fillId="0" borderId="20" xfId="0" applyFont="1" applyBorder="1"/>
    <xf numFmtId="2" fontId="23" fillId="0" borderId="18" xfId="0" applyNumberFormat="1" applyFont="1" applyBorder="1"/>
    <xf numFmtId="2" fontId="23" fillId="0" borderId="20" xfId="0" applyNumberFormat="1" applyFont="1" applyBorder="1"/>
    <xf numFmtId="0" fontId="28" fillId="0" borderId="1" xfId="0" applyFont="1" applyBorder="1"/>
    <xf numFmtId="4" fontId="22" fillId="0" borderId="0" xfId="0" applyNumberFormat="1" applyFont="1" applyFill="1" applyBorder="1" applyAlignment="1" applyProtection="1">
      <alignment horizontal="right"/>
    </xf>
    <xf numFmtId="0" fontId="22" fillId="0" borderId="0" xfId="0" applyFont="1" applyFill="1" applyBorder="1"/>
    <xf numFmtId="164" fontId="22" fillId="0" borderId="0" xfId="0" applyNumberFormat="1" applyFont="1" applyFill="1" applyBorder="1" applyProtection="1">
      <protection locked="0"/>
    </xf>
    <xf numFmtId="164" fontId="22" fillId="0" borderId="0" xfId="0" applyNumberFormat="1" applyFont="1" applyFill="1" applyProtection="1">
      <protection locked="0"/>
    </xf>
    <xf numFmtId="164" fontId="22" fillId="0" borderId="0" xfId="0" applyNumberFormat="1" applyFont="1" applyFill="1" applyBorder="1"/>
    <xf numFmtId="0" fontId="18" fillId="9" borderId="0" xfId="0" applyFont="1" applyFill="1"/>
    <xf numFmtId="0" fontId="0" fillId="9" borderId="0" xfId="0" applyFont="1" applyFill="1"/>
    <xf numFmtId="0" fontId="0" fillId="9" borderId="0" xfId="0" applyFill="1"/>
    <xf numFmtId="0" fontId="0" fillId="9" borderId="0" xfId="0" applyFill="1" applyAlignment="1">
      <alignment horizontal="right"/>
    </xf>
    <xf numFmtId="4" fontId="22" fillId="9" borderId="0" xfId="0" applyNumberFormat="1" applyFont="1" applyFill="1"/>
    <xf numFmtId="4" fontId="23" fillId="9" borderId="0" xfId="0" applyNumberFormat="1" applyFont="1" applyFill="1"/>
    <xf numFmtId="2" fontId="23" fillId="9" borderId="0" xfId="0" applyNumberFormat="1" applyFont="1" applyFill="1"/>
    <xf numFmtId="0" fontId="18" fillId="9" borderId="22" xfId="0" applyFont="1" applyFill="1" applyBorder="1"/>
    <xf numFmtId="4" fontId="23" fillId="9" borderId="22" xfId="0" applyNumberFormat="1" applyFont="1" applyFill="1" applyBorder="1"/>
    <xf numFmtId="2" fontId="23" fillId="9" borderId="22" xfId="0" applyNumberFormat="1" applyFont="1" applyFill="1" applyBorder="1"/>
    <xf numFmtId="0" fontId="0" fillId="0" borderId="0" xfId="0" applyFont="1"/>
    <xf numFmtId="0" fontId="0" fillId="0" borderId="0" xfId="0"/>
    <xf numFmtId="0" fontId="0" fillId="0" borderId="0" xfId="0"/>
    <xf numFmtId="2" fontId="24" fillId="2" borderId="16" xfId="0" applyNumberFormat="1" applyFont="1" applyFill="1" applyBorder="1"/>
    <xf numFmtId="0" fontId="18" fillId="9" borderId="0" xfId="0" applyFont="1" applyFill="1" applyBorder="1"/>
    <xf numFmtId="4" fontId="23" fillId="9" borderId="0" xfId="0" applyNumberFormat="1" applyFont="1" applyFill="1" applyBorder="1"/>
    <xf numFmtId="2" fontId="23" fillId="9" borderId="0" xfId="0" applyNumberFormat="1" applyFont="1" applyFill="1" applyBorder="1"/>
    <xf numFmtId="0" fontId="18" fillId="0" borderId="0" xfId="0" applyFont="1" applyFill="1" applyBorder="1"/>
    <xf numFmtId="4" fontId="23" fillId="0" borderId="0" xfId="0" applyNumberFormat="1" applyFont="1" applyFill="1" applyBorder="1"/>
    <xf numFmtId="2" fontId="23" fillId="0" borderId="0" xfId="0" applyNumberFormat="1" applyFont="1" applyFill="1" applyBorder="1"/>
    <xf numFmtId="0" fontId="22" fillId="0" borderId="0" xfId="0" applyFont="1" applyFill="1" applyAlignment="1">
      <alignment horizontal="right"/>
    </xf>
    <xf numFmtId="0" fontId="18" fillId="0" borderId="23" xfId="0" applyFont="1" applyFill="1" applyBorder="1"/>
    <xf numFmtId="4" fontId="23" fillId="0" borderId="23" xfId="0" applyNumberFormat="1" applyFont="1" applyFill="1" applyBorder="1"/>
    <xf numFmtId="2" fontId="23" fillId="0" borderId="23" xfId="0" applyNumberFormat="1" applyFont="1" applyFill="1" applyBorder="1"/>
    <xf numFmtId="0" fontId="0" fillId="0" borderId="23" xfId="0" applyFill="1" applyBorder="1"/>
    <xf numFmtId="0" fontId="0" fillId="0" borderId="23" xfId="0" applyBorder="1"/>
    <xf numFmtId="4" fontId="0" fillId="0" borderId="0" xfId="0" applyNumberFormat="1" applyFont="1"/>
    <xf numFmtId="0" fontId="0" fillId="0" borderId="24" xfId="0" applyBorder="1"/>
    <xf numFmtId="0" fontId="0" fillId="0" borderId="25" xfId="0" applyBorder="1" applyAlignment="1">
      <alignment horizontal="justify" vertical="center" wrapText="1"/>
    </xf>
    <xf numFmtId="0" fontId="0" fillId="0" borderId="26" xfId="0" applyFont="1" applyBorder="1" applyProtection="1"/>
    <xf numFmtId="0" fontId="0" fillId="0" borderId="27" xfId="0" applyFont="1" applyBorder="1" applyProtection="1"/>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right" vertical="center" wrapText="1"/>
    </xf>
    <xf numFmtId="0" fontId="0" fillId="0" borderId="31" xfId="0" applyBorder="1" applyAlignment="1">
      <alignment horizontal="justify" vertical="center" wrapText="1"/>
    </xf>
    <xf numFmtId="0" fontId="0" fillId="0" borderId="32" xfId="0" applyFont="1" applyBorder="1" applyProtection="1"/>
    <xf numFmtId="0" fontId="0" fillId="0" borderId="33" xfId="0" applyFont="1" applyBorder="1" applyProtection="1"/>
    <xf numFmtId="0" fontId="0" fillId="0" borderId="34" xfId="0" applyBorder="1" applyAlignment="1">
      <alignment horizontal="right" vertical="center" wrapText="1"/>
    </xf>
    <xf numFmtId="0" fontId="0" fillId="0" borderId="0" xfId="0" applyFont="1" applyAlignment="1">
      <alignment horizontal="left" vertical="center"/>
    </xf>
    <xf numFmtId="0" fontId="0" fillId="0" borderId="0" xfId="0" applyFont="1"/>
    <xf numFmtId="0" fontId="56" fillId="0" borderId="0" xfId="0" applyFont="1" applyAlignment="1" applyProtection="1">
      <alignment horizontal="left"/>
      <protection locked="0"/>
    </xf>
    <xf numFmtId="0" fontId="57" fillId="0" borderId="0" xfId="0" applyFont="1" applyAlignment="1">
      <alignment horizontal="left" vertical="top" wrapText="1"/>
    </xf>
    <xf numFmtId="0" fontId="60" fillId="0" borderId="0" xfId="0" applyFont="1"/>
    <xf numFmtId="0" fontId="26" fillId="9" borderId="0" xfId="0" applyFont="1" applyFill="1" applyAlignment="1">
      <alignment vertical="top" wrapText="1"/>
    </xf>
    <xf numFmtId="0" fontId="61" fillId="0" borderId="0" xfId="0" applyFont="1"/>
    <xf numFmtId="0" fontId="61" fillId="0" borderId="0" xfId="0" applyFont="1" applyFill="1"/>
    <xf numFmtId="0" fontId="61" fillId="0" borderId="0" xfId="0" applyFont="1" applyAlignment="1">
      <alignment horizontal="right"/>
    </xf>
    <xf numFmtId="0" fontId="61" fillId="0" borderId="0" xfId="0" applyFont="1" applyFill="1" applyAlignment="1">
      <alignment horizontal="right"/>
    </xf>
    <xf numFmtId="0" fontId="0" fillId="0" borderId="0" xfId="0" applyFont="1" applyAlignment="1">
      <alignment horizontal="right" vertical="center"/>
    </xf>
    <xf numFmtId="0" fontId="0" fillId="0" borderId="0" xfId="0" applyFont="1" applyAlignment="1">
      <alignment vertical="center"/>
    </xf>
    <xf numFmtId="0" fontId="25" fillId="0" borderId="0" xfId="0" applyFont="1" applyAlignment="1">
      <alignment vertical="center"/>
    </xf>
    <xf numFmtId="0" fontId="0" fillId="0" borderId="0" xfId="0" applyNumberFormat="1" applyFont="1" applyAlignment="1">
      <alignment vertical="center"/>
    </xf>
    <xf numFmtId="0" fontId="25"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57" fillId="0" borderId="16" xfId="0" applyFont="1" applyBorder="1" applyAlignment="1">
      <alignment horizontal="left"/>
    </xf>
    <xf numFmtId="0" fontId="57" fillId="0" borderId="16" xfId="0" applyFont="1" applyBorder="1"/>
    <xf numFmtId="0" fontId="57" fillId="0" borderId="0" xfId="0" applyFont="1"/>
    <xf numFmtId="0" fontId="57" fillId="4" borderId="16" xfId="0" applyFont="1" applyFill="1" applyBorder="1" applyAlignment="1">
      <alignment horizontal="left"/>
    </xf>
    <xf numFmtId="0" fontId="57" fillId="4" borderId="16" xfId="0" applyFont="1" applyFill="1" applyBorder="1"/>
    <xf numFmtId="0" fontId="57" fillId="0" borderId="0" xfId="0" applyFont="1" applyFill="1"/>
    <xf numFmtId="0" fontId="57" fillId="0" borderId="16" xfId="0" applyFont="1" applyFill="1" applyBorder="1" applyAlignment="1">
      <alignment horizontal="left"/>
    </xf>
    <xf numFmtId="0" fontId="57" fillId="0" borderId="16" xfId="0" applyFont="1" applyFill="1" applyBorder="1"/>
    <xf numFmtId="0" fontId="62" fillId="0" borderId="16" xfId="0" applyFont="1" applyBorder="1" applyAlignment="1">
      <alignment horizontal="left"/>
    </xf>
    <xf numFmtId="0" fontId="62" fillId="0" borderId="16" xfId="0" applyFont="1" applyBorder="1"/>
    <xf numFmtId="0" fontId="63" fillId="10" borderId="0" xfId="0" applyFont="1" applyFill="1"/>
    <xf numFmtId="0" fontId="18"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16" xfId="0" applyBorder="1" applyAlignment="1">
      <alignment vertical="center" wrapText="1"/>
    </xf>
    <xf numFmtId="0" fontId="50" fillId="0" borderId="16" xfId="0" applyFont="1" applyBorder="1" applyAlignment="1">
      <alignment vertical="center" wrapText="1"/>
    </xf>
    <xf numFmtId="2" fontId="50" fillId="0" borderId="16" xfId="0" applyNumberFormat="1" applyFont="1" applyBorder="1" applyAlignment="1">
      <alignment vertical="center" wrapText="1"/>
    </xf>
    <xf numFmtId="0" fontId="64" fillId="0" borderId="0" xfId="0" applyFont="1"/>
    <xf numFmtId="0" fontId="64" fillId="0" borderId="0" xfId="0" applyFont="1" applyAlignment="1" applyProtection="1">
      <alignment horizontal="left"/>
      <protection locked="0"/>
    </xf>
    <xf numFmtId="0" fontId="64" fillId="0" borderId="0" xfId="0" applyFont="1" applyAlignment="1">
      <alignment horizontal="left"/>
    </xf>
    <xf numFmtId="0" fontId="66" fillId="0" borderId="0" xfId="0" applyFont="1"/>
    <xf numFmtId="0" fontId="57" fillId="0" borderId="35" xfId="0" applyFont="1" applyBorder="1" applyAlignment="1">
      <alignment horizontal="left" vertical="top" wrapText="1"/>
    </xf>
    <xf numFmtId="0" fontId="23" fillId="0" borderId="0" xfId="0" applyFont="1" applyAlignment="1" applyProtection="1">
      <alignment vertical="center"/>
    </xf>
    <xf numFmtId="0" fontId="64" fillId="0" borderId="0" xfId="0" applyFont="1" applyProtection="1"/>
    <xf numFmtId="0" fontId="0" fillId="0" borderId="37" xfId="0" applyFont="1" applyBorder="1" applyProtection="1"/>
    <xf numFmtId="0" fontId="0" fillId="0" borderId="38" xfId="0" applyFont="1" applyBorder="1" applyProtection="1"/>
    <xf numFmtId="164" fontId="21" fillId="0" borderId="18" xfId="0" applyNumberFormat="1" applyFont="1" applyBorder="1" applyProtection="1"/>
    <xf numFmtId="0" fontId="19" fillId="0" borderId="18" xfId="0" applyFont="1" applyBorder="1" applyProtection="1"/>
    <xf numFmtId="2" fontId="22" fillId="0" borderId="0" xfId="0" applyNumberFormat="1" applyFont="1" applyBorder="1" applyProtection="1"/>
    <xf numFmtId="0" fontId="0" fillId="0" borderId="18" xfId="0" applyFont="1" applyBorder="1" applyProtection="1"/>
    <xf numFmtId="0" fontId="25" fillId="0" borderId="24" xfId="0" applyFont="1" applyFill="1" applyBorder="1" applyAlignment="1" applyProtection="1">
      <alignment wrapText="1"/>
    </xf>
    <xf numFmtId="2" fontId="22" fillId="0" borderId="24" xfId="0" applyNumberFormat="1" applyFont="1" applyBorder="1" applyProtection="1"/>
    <xf numFmtId="0" fontId="0" fillId="0" borderId="24" xfId="0" applyFont="1" applyBorder="1" applyProtection="1"/>
    <xf numFmtId="0" fontId="24" fillId="0" borderId="24" xfId="0" applyFont="1" applyFill="1" applyBorder="1" applyProtection="1"/>
    <xf numFmtId="0" fontId="0" fillId="0" borderId="39" xfId="0" applyFont="1" applyBorder="1" applyProtection="1"/>
    <xf numFmtId="0" fontId="25" fillId="0" borderId="0" xfId="0" applyFont="1" applyFill="1" applyBorder="1" applyAlignment="1" applyProtection="1">
      <alignment horizontal="center" wrapText="1"/>
    </xf>
    <xf numFmtId="0" fontId="0" fillId="0" borderId="0" xfId="0" applyFont="1" applyAlignment="1" applyProtection="1">
      <alignment horizontal="center"/>
    </xf>
    <xf numFmtId="0" fontId="23" fillId="0" borderId="0" xfId="0" applyFont="1" applyAlignment="1" applyProtection="1">
      <alignment horizontal="center"/>
    </xf>
    <xf numFmtId="0" fontId="26" fillId="0" borderId="36" xfId="0" applyFont="1" applyBorder="1" applyProtection="1"/>
    <xf numFmtId="0" fontId="7" fillId="0" borderId="1" xfId="0" applyFont="1" applyBorder="1" applyAlignment="1" applyProtection="1">
      <alignment wrapText="1"/>
    </xf>
    <xf numFmtId="0" fontId="25" fillId="0" borderId="1" xfId="0" applyFont="1" applyFill="1" applyBorder="1" applyAlignment="1" applyProtection="1">
      <alignment wrapText="1"/>
    </xf>
    <xf numFmtId="0" fontId="25" fillId="0" borderId="19" xfId="0" applyFont="1" applyFill="1" applyBorder="1" applyAlignment="1" applyProtection="1">
      <alignment wrapText="1"/>
    </xf>
    <xf numFmtId="2" fontId="24" fillId="2" borderId="16" xfId="0" applyNumberFormat="1" applyFont="1" applyFill="1" applyBorder="1" applyProtection="1">
      <protection locked="0"/>
    </xf>
    <xf numFmtId="0" fontId="38" fillId="2" borderId="16" xfId="0" applyFont="1" applyFill="1" applyBorder="1" applyAlignment="1" applyProtection="1">
      <alignment horizontal="center" vertical="center"/>
      <protection locked="0"/>
    </xf>
    <xf numFmtId="2" fontId="24" fillId="2" borderId="16" xfId="0" applyNumberFormat="1" applyFont="1" applyFill="1" applyBorder="1" applyAlignment="1" applyProtection="1">
      <alignment horizontal="center"/>
    </xf>
    <xf numFmtId="2" fontId="24" fillId="2" borderId="16" xfId="0" applyNumberFormat="1" applyFont="1" applyFill="1" applyBorder="1" applyAlignment="1" applyProtection="1">
      <alignment horizontal="center" wrapText="1"/>
    </xf>
    <xf numFmtId="0" fontId="24" fillId="2" borderId="16" xfId="0" applyFont="1" applyFill="1" applyBorder="1" applyProtection="1"/>
    <xf numFmtId="0" fontId="24" fillId="2" borderId="16" xfId="0" applyFont="1" applyFill="1" applyBorder="1" applyAlignment="1" applyProtection="1">
      <alignment vertical="center"/>
    </xf>
    <xf numFmtId="2" fontId="23" fillId="0" borderId="39" xfId="0" applyNumberFormat="1" applyFont="1" applyFill="1" applyBorder="1"/>
    <xf numFmtId="2" fontId="24" fillId="2" borderId="16" xfId="0" applyNumberFormat="1" applyFont="1" applyFill="1" applyBorder="1" applyProtection="1"/>
    <xf numFmtId="2" fontId="24" fillId="2" borderId="16" xfId="0" applyNumberFormat="1" applyFont="1" applyFill="1" applyBorder="1" applyAlignment="1" applyProtection="1">
      <alignment wrapText="1"/>
    </xf>
    <xf numFmtId="170" fontId="24" fillId="2" borderId="16" xfId="0" applyNumberFormat="1" applyFont="1" applyFill="1" applyBorder="1" applyProtection="1"/>
    <xf numFmtId="3" fontId="24" fillId="2" borderId="16" xfId="0" applyNumberFormat="1" applyFont="1" applyFill="1" applyBorder="1" applyProtection="1"/>
    <xf numFmtId="0" fontId="18" fillId="0" borderId="0" xfId="0" applyFont="1"/>
    <xf numFmtId="0" fontId="0" fillId="0" borderId="0" xfId="0" applyAlignment="1">
      <alignment wrapText="1"/>
    </xf>
    <xf numFmtId="0" fontId="0" fillId="0" borderId="0" xfId="0"/>
    <xf numFmtId="0" fontId="18" fillId="0" borderId="0" xfId="0" applyFont="1"/>
    <xf numFmtId="0" fontId="0" fillId="0" borderId="0" xfId="0" applyAlignment="1">
      <alignment wrapText="1"/>
    </xf>
    <xf numFmtId="0" fontId="0" fillId="0" borderId="0" xfId="0" applyFont="1"/>
    <xf numFmtId="0" fontId="0" fillId="0" borderId="0" xfId="0"/>
    <xf numFmtId="0" fontId="18" fillId="0" borderId="0" xfId="0" applyFont="1"/>
    <xf numFmtId="0" fontId="0" fillId="0" borderId="0" xfId="0" applyFont="1"/>
    <xf numFmtId="0" fontId="0" fillId="0" borderId="0" xfId="0"/>
    <xf numFmtId="0" fontId="0" fillId="0" borderId="0" xfId="0" applyAlignment="1" applyProtection="1">
      <alignment horizontal="right" vertical="center"/>
    </xf>
    <xf numFmtId="0" fontId="0" fillId="0" borderId="0" xfId="0" applyAlignment="1" applyProtection="1">
      <alignment horizontal="right" wrapText="1"/>
    </xf>
    <xf numFmtId="0" fontId="0" fillId="0" borderId="0" xfId="0" applyAlignment="1" applyProtection="1">
      <alignment wrapText="1"/>
    </xf>
    <xf numFmtId="0" fontId="0" fillId="0" borderId="0" xfId="0" applyFill="1" applyBorder="1" applyAlignment="1" applyProtection="1">
      <alignment horizontal="left" wrapText="1"/>
    </xf>
    <xf numFmtId="0" fontId="0" fillId="0" borderId="0" xfId="0" applyFill="1" applyAlignment="1" applyProtection="1">
      <alignment horizontal="left" wrapText="1"/>
    </xf>
    <xf numFmtId="0" fontId="18" fillId="0" borderId="0" xfId="0" applyFont="1"/>
    <xf numFmtId="0" fontId="0" fillId="0" borderId="0" xfId="0" applyAlignment="1">
      <alignment wrapText="1"/>
    </xf>
    <xf numFmtId="0" fontId="0" fillId="0" borderId="0" xfId="0"/>
    <xf numFmtId="0" fontId="18" fillId="0" borderId="0" xfId="0" applyFont="1"/>
    <xf numFmtId="0" fontId="18" fillId="0" borderId="18" xfId="0" applyFont="1" applyBorder="1"/>
    <xf numFmtId="0" fontId="26" fillId="3" borderId="10" xfId="0" applyFont="1" applyFill="1" applyBorder="1" applyAlignment="1">
      <alignment vertical="center" wrapText="1"/>
    </xf>
    <xf numFmtId="0" fontId="26" fillId="3" borderId="11" xfId="0" applyFont="1" applyFill="1" applyBorder="1" applyAlignment="1">
      <alignment vertical="center" wrapText="1"/>
    </xf>
    <xf numFmtId="0" fontId="26" fillId="3" borderId="12" xfId="0" applyFont="1" applyFill="1" applyBorder="1" applyAlignment="1">
      <alignment vertical="center" wrapText="1"/>
    </xf>
    <xf numFmtId="0" fontId="33" fillId="3" borderId="10" xfId="0" applyFont="1" applyFill="1" applyBorder="1" applyAlignment="1" applyProtection="1">
      <alignment horizontal="left" vertical="top" wrapText="1"/>
    </xf>
    <xf numFmtId="0" fontId="33" fillId="3" borderId="11" xfId="0" applyFont="1" applyFill="1" applyBorder="1" applyAlignment="1" applyProtection="1">
      <alignment horizontal="left" vertical="top" wrapText="1"/>
    </xf>
    <xf numFmtId="0" fontId="0" fillId="0" borderId="11" xfId="0" applyBorder="1" applyAlignment="1">
      <alignment wrapText="1"/>
    </xf>
    <xf numFmtId="0" fontId="0" fillId="0" borderId="12" xfId="0" applyBorder="1" applyAlignment="1">
      <alignment wrapText="1"/>
    </xf>
    <xf numFmtId="0" fontId="33" fillId="3"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wrapText="1"/>
    </xf>
    <xf numFmtId="0" fontId="26" fillId="3" borderId="2" xfId="0" applyFont="1" applyFill="1" applyBorder="1" applyAlignment="1" applyProtection="1">
      <alignment horizontal="left" wrapText="1"/>
    </xf>
    <xf numFmtId="0" fontId="0" fillId="0" borderId="3" xfId="0" applyBorder="1" applyAlignment="1">
      <alignment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5" xfId="0" applyBorder="1" applyAlignment="1">
      <alignment wrapText="1"/>
    </xf>
    <xf numFmtId="0" fontId="26" fillId="8" borderId="10" xfId="0" applyFont="1" applyFill="1" applyBorder="1" applyAlignment="1">
      <alignment wrapText="1"/>
    </xf>
    <xf numFmtId="0" fontId="26" fillId="8" borderId="11" xfId="0" applyFont="1" applyFill="1" applyBorder="1" applyAlignment="1">
      <alignment wrapText="1"/>
    </xf>
    <xf numFmtId="0" fontId="26" fillId="8" borderId="12" xfId="0" applyFont="1" applyFill="1" applyBorder="1" applyAlignment="1">
      <alignment wrapText="1"/>
    </xf>
    <xf numFmtId="0" fontId="19" fillId="0" borderId="0" xfId="0" applyFont="1" applyAlignment="1">
      <alignment vertical="top" wrapText="1"/>
    </xf>
    <xf numFmtId="0" fontId="0" fillId="5" borderId="0" xfId="0" applyFill="1" applyAlignment="1" applyProtection="1">
      <alignment horizontal="center" wrapText="1"/>
    </xf>
    <xf numFmtId="0" fontId="0" fillId="5" borderId="0" xfId="0" applyFont="1" applyFill="1" applyAlignment="1" applyProtection="1">
      <alignment horizontal="center" wrapText="1"/>
    </xf>
    <xf numFmtId="0" fontId="26" fillId="3" borderId="10" xfId="0" applyFont="1" applyFill="1" applyBorder="1" applyAlignment="1" applyProtection="1">
      <alignment horizontal="left" vertical="top" wrapText="1"/>
    </xf>
    <xf numFmtId="0" fontId="26" fillId="3" borderId="11" xfId="0" applyFont="1" applyFill="1" applyBorder="1" applyAlignment="1" applyProtection="1">
      <alignment horizontal="left" vertical="top" wrapText="1"/>
    </xf>
    <xf numFmtId="0" fontId="0" fillId="0" borderId="16" xfId="0" applyFill="1" applyBorder="1" applyAlignment="1" applyProtection="1">
      <alignment vertical="top" wrapText="1"/>
    </xf>
    <xf numFmtId="0" fontId="0" fillId="0" borderId="16" xfId="0" applyFont="1" applyFill="1" applyBorder="1" applyAlignment="1" applyProtection="1">
      <alignment vertical="top" wrapText="1"/>
    </xf>
    <xf numFmtId="0" fontId="0" fillId="0" borderId="16" xfId="0" applyFill="1" applyBorder="1" applyProtection="1"/>
    <xf numFmtId="0" fontId="25" fillId="0" borderId="0" xfId="0" applyFont="1" applyFill="1" applyAlignment="1" applyProtection="1">
      <alignment horizontal="left" wrapText="1"/>
    </xf>
    <xf numFmtId="0" fontId="33" fillId="3" borderId="10" xfId="0" applyFont="1" applyFill="1" applyBorder="1" applyAlignment="1" applyProtection="1">
      <alignment horizontal="left" vertical="center" wrapText="1"/>
    </xf>
    <xf numFmtId="0" fontId="33" fillId="3" borderId="11" xfId="0" applyFont="1" applyFill="1" applyBorder="1" applyAlignment="1" applyProtection="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0" xfId="0" applyBorder="1" applyAlignment="1" applyProtection="1">
      <alignment horizontal="left" vertical="top" wrapText="1"/>
    </xf>
    <xf numFmtId="0" fontId="0" fillId="0" borderId="41" xfId="0" applyBorder="1" applyAlignment="1" applyProtection="1">
      <alignment horizontal="left" vertical="top"/>
    </xf>
    <xf numFmtId="0" fontId="0" fillId="0" borderId="42" xfId="0" applyBorder="1" applyAlignment="1" applyProtection="1">
      <alignment horizontal="left" vertical="top"/>
    </xf>
    <xf numFmtId="0" fontId="0" fillId="0" borderId="43" xfId="0" applyBorder="1" applyAlignment="1" applyProtection="1">
      <alignment horizontal="left" vertical="top"/>
    </xf>
    <xf numFmtId="0" fontId="0" fillId="0" borderId="0" xfId="0" applyBorder="1" applyAlignment="1" applyProtection="1">
      <alignment horizontal="left" vertical="top"/>
    </xf>
    <xf numFmtId="0" fontId="0" fillId="0" borderId="44" xfId="0" applyBorder="1" applyAlignment="1" applyProtection="1">
      <alignment horizontal="left" vertical="top"/>
    </xf>
    <xf numFmtId="0" fontId="0" fillId="0" borderId="45" xfId="0" applyBorder="1" applyAlignment="1" applyProtection="1">
      <alignment horizontal="left" vertical="top"/>
    </xf>
    <xf numFmtId="0" fontId="0" fillId="0" borderId="46" xfId="0" applyBorder="1" applyAlignment="1" applyProtection="1">
      <alignment horizontal="left" vertical="top"/>
    </xf>
    <xf numFmtId="0" fontId="0" fillId="0" borderId="47" xfId="0" applyBorder="1" applyAlignment="1" applyProtection="1">
      <alignment horizontal="left" vertical="top"/>
    </xf>
    <xf numFmtId="0" fontId="33" fillId="3" borderId="13" xfId="0" applyFont="1" applyFill="1" applyBorder="1" applyAlignment="1" applyProtection="1">
      <alignment horizontal="center" vertical="center" wrapText="1"/>
    </xf>
    <xf numFmtId="0" fontId="0" fillId="0" borderId="0" xfId="0" applyAlignment="1">
      <alignment wrapText="1"/>
    </xf>
    <xf numFmtId="0" fontId="0" fillId="0" borderId="0" xfId="0" applyBorder="1" applyAlignment="1">
      <alignment wrapText="1"/>
    </xf>
    <xf numFmtId="2" fontId="22" fillId="4" borderId="0" xfId="0" applyNumberFormat="1" applyFont="1" applyFill="1"/>
    <xf numFmtId="0" fontId="22" fillId="0" borderId="0" xfId="0" applyFont="1" applyFill="1"/>
    <xf numFmtId="0" fontId="0" fillId="0" borderId="0" xfId="0" applyFont="1"/>
    <xf numFmtId="0" fontId="22" fillId="4" borderId="0" xfId="0" applyFont="1" applyFill="1"/>
    <xf numFmtId="0" fontId="22" fillId="4" borderId="0" xfId="0" applyFont="1" applyFill="1" applyAlignment="1">
      <alignment horizontal="right"/>
    </xf>
    <xf numFmtId="0" fontId="33" fillId="3" borderId="10" xfId="0" applyFont="1" applyFill="1" applyBorder="1" applyAlignment="1">
      <alignment wrapText="1"/>
    </xf>
    <xf numFmtId="0" fontId="33" fillId="3" borderId="11" xfId="0" applyFont="1" applyFill="1" applyBorder="1" applyAlignment="1">
      <alignment wrapText="1"/>
    </xf>
    <xf numFmtId="0" fontId="33" fillId="3" borderId="12" xfId="0" applyFont="1" applyFill="1" applyBorder="1" applyAlignment="1">
      <alignment wrapText="1"/>
    </xf>
    <xf numFmtId="0" fontId="0" fillId="0" borderId="0" xfId="0"/>
    <xf numFmtId="0" fontId="22" fillId="4" borderId="0" xfId="0" applyFont="1" applyFill="1" applyAlignment="1">
      <alignment horizontal="right" wrapText="1"/>
    </xf>
    <xf numFmtId="0" fontId="33" fillId="3" borderId="6" xfId="0" applyFont="1" applyFill="1" applyBorder="1" applyAlignment="1">
      <alignment wrapText="1"/>
    </xf>
    <xf numFmtId="0" fontId="33" fillId="3" borderId="7" xfId="0" applyFont="1" applyFill="1" applyBorder="1" applyAlignment="1">
      <alignment wrapText="1"/>
    </xf>
    <xf numFmtId="0" fontId="0" fillId="0" borderId="0" xfId="0" applyFont="1" applyAlignment="1">
      <alignment horizontal="justify" vertical="center"/>
    </xf>
    <xf numFmtId="0" fontId="0" fillId="0" borderId="0" xfId="0" applyFont="1" applyAlignment="1">
      <alignment vertical="center"/>
    </xf>
    <xf numFmtId="0" fontId="69" fillId="0" borderId="0" xfId="0" applyFont="1"/>
  </cellXfs>
  <cellStyles count="11">
    <cellStyle name="Comma 2" xfId="1"/>
    <cellStyle name="Comma 3" xfId="2"/>
    <cellStyle name="Hyperlink 2" xfId="3"/>
    <cellStyle name="Normal" xfId="0" builtinId="0"/>
    <cellStyle name="Normal 2" xfId="4"/>
    <cellStyle name="Normal 3" xfId="5"/>
    <cellStyle name="Normal 4" xfId="6"/>
    <cellStyle name="Percent 2" xfId="7"/>
    <cellStyle name="Percent 3" xfId="8"/>
    <cellStyle name="Percent 4" xfId="9"/>
    <cellStyle name="Título_10-06-18 AnH BioGrace GHG calculations - version 2.0.a" xfId="10"/>
  </cellStyles>
  <dxfs count="0"/>
  <tableStyles count="0" defaultTableStyle="TableStyleMedium9" defaultPivotStyle="PivotStyleLight16"/>
  <colors>
    <mruColors>
      <color rgb="FF0099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a:t>Emisi mill </a:t>
            </a:r>
          </a:p>
        </c:rich>
      </c:tx>
      <c:overlay val="0"/>
    </c:title>
    <c:autoTitleDeleted val="0"/>
    <c:plotArea>
      <c:layout/>
      <c:barChart>
        <c:barDir val="col"/>
        <c:grouping val="clustered"/>
        <c:varyColors val="0"/>
        <c:ser>
          <c:idx val="0"/>
          <c:order val="0"/>
          <c:tx>
            <c:strRef>
              <c:f>'Ringkasan Hasil'!$B$35</c:f>
              <c:strCache>
                <c:ptCount val="1"/>
                <c:pt idx="0">
                  <c:v>tCO2e</c:v>
                </c:pt>
              </c:strCache>
            </c:strRef>
          </c:tx>
          <c:invertIfNegative val="0"/>
          <c:dPt>
            <c:idx val="5"/>
            <c:invertIfNegative val="0"/>
            <c:bubble3D val="0"/>
            <c:spPr>
              <a:solidFill>
                <a:schemeClr val="accent6">
                  <a:lumMod val="50000"/>
                </a:schemeClr>
              </a:solidFill>
            </c:spPr>
            <c:extLst>
              <c:ext xmlns:c16="http://schemas.microsoft.com/office/drawing/2014/chart" uri="{C3380CC4-5D6E-409C-BE32-E72D297353CC}">
                <c16:uniqueId val="{00000001-1EAA-45C3-826E-E702605B7599}"/>
              </c:ext>
            </c:extLst>
          </c:dPt>
          <c:cat>
            <c:strRef>
              <c:f>'Ringkasan Hasil'!$A$36:$A$41</c:f>
              <c:strCache>
                <c:ptCount val="6"/>
                <c:pt idx="0">
                  <c:v>POME</c:v>
                </c:pt>
                <c:pt idx="1">
                  <c:v>Bahan bakar mill</c:v>
                </c:pt>
                <c:pt idx="2">
                  <c:v>Listrik yang dibeli</c:v>
                </c:pt>
                <c:pt idx="3">
                  <c:v>Kredit (kelebihan listrik yang dikeluarkan)</c:v>
                </c:pt>
                <c:pt idx="4">
                  <c:v>Kredit (penjualan biomassa untuk listrik)</c:v>
                </c:pt>
                <c:pt idx="5">
                  <c:v>Total </c:v>
                </c:pt>
              </c:strCache>
            </c:strRef>
          </c:cat>
          <c:val>
            <c:numRef>
              <c:f>'Ringkasan Hasil'!$B$36:$B$41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EAA-45C3-826E-E702605B7599}"/>
            </c:ext>
          </c:extLst>
        </c:ser>
        <c:dLbls>
          <c:showLegendKey val="0"/>
          <c:showVal val="0"/>
          <c:showCatName val="0"/>
          <c:showSerName val="0"/>
          <c:showPercent val="0"/>
          <c:showBubbleSize val="0"/>
        </c:dLbls>
        <c:gapWidth val="150"/>
        <c:axId val="53537408"/>
        <c:axId val="55931264"/>
      </c:barChart>
      <c:catAx>
        <c:axId val="53537408"/>
        <c:scaling>
          <c:orientation val="minMax"/>
        </c:scaling>
        <c:delete val="0"/>
        <c:axPos val="b"/>
        <c:numFmt formatCode="General" sourceLinked="0"/>
        <c:majorTickMark val="none"/>
        <c:minorTickMark val="none"/>
        <c:tickLblPos val="nextTo"/>
        <c:crossAx val="55931264"/>
        <c:crosses val="autoZero"/>
        <c:auto val="1"/>
        <c:lblAlgn val="ctr"/>
        <c:lblOffset val="100"/>
        <c:noMultiLvlLbl val="0"/>
      </c:catAx>
      <c:valAx>
        <c:axId val="55931264"/>
        <c:scaling>
          <c:orientation val="minMax"/>
        </c:scaling>
        <c:delete val="0"/>
        <c:axPos val="l"/>
        <c:title>
          <c:tx>
            <c:rich>
              <a:bodyPr/>
              <a:lstStyle/>
              <a:p>
                <a:pPr>
                  <a:defRPr/>
                </a:pPr>
                <a:r>
                  <a:rPr lang="en-MY"/>
                  <a:t>tCO2e</a:t>
                </a:r>
              </a:p>
            </c:rich>
          </c:tx>
          <c:overlay val="0"/>
        </c:title>
        <c:numFmt formatCode="#,##0.00" sourceLinked="1"/>
        <c:majorTickMark val="out"/>
        <c:minorTickMark val="none"/>
        <c:tickLblPos val="nextTo"/>
        <c:crossAx val="53537408"/>
        <c:crosses val="autoZero"/>
        <c:crossBetween val="between"/>
      </c:valAx>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Emisi kebun</a:t>
            </a:r>
          </a:p>
        </c:rich>
      </c:tx>
      <c:overlay val="0"/>
    </c:title>
    <c:autoTitleDeleted val="0"/>
    <c:plotArea>
      <c:layout/>
      <c:barChart>
        <c:barDir val="col"/>
        <c:grouping val="clustered"/>
        <c:varyColors val="0"/>
        <c:ser>
          <c:idx val="0"/>
          <c:order val="0"/>
          <c:invertIfNegative val="0"/>
          <c:cat>
            <c:strRef>
              <c:f>'Ringkasan Hasil'!$G$63:$G$68</c:f>
              <c:strCache>
                <c:ptCount val="6"/>
                <c:pt idx="0">
                  <c:v>Pembersihan lahan</c:v>
                </c:pt>
                <c:pt idx="1">
                  <c:v>Penyerapan karbon oleh tanaman</c:v>
                </c:pt>
                <c:pt idx="2">
                  <c:v>Pupuk &amp; N2O</c:v>
                </c:pt>
                <c:pt idx="3">
                  <c:v>Bahan bakar kebun</c:v>
                </c:pt>
                <c:pt idx="4">
                  <c:v>Lahan gambut</c:v>
                </c:pt>
                <c:pt idx="5">
                  <c:v>Kredit konservasi</c:v>
                </c:pt>
              </c:strCache>
            </c:strRef>
          </c:cat>
          <c:val>
            <c:numRef>
              <c:f>'Ringkasan Hasil'!$H$63:$H$68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FCAF-42D8-98B9-8037F101F598}"/>
            </c:ext>
          </c:extLst>
        </c:ser>
        <c:dLbls>
          <c:showLegendKey val="0"/>
          <c:showVal val="0"/>
          <c:showCatName val="0"/>
          <c:showSerName val="0"/>
          <c:showPercent val="0"/>
          <c:showBubbleSize val="0"/>
        </c:dLbls>
        <c:gapWidth val="150"/>
        <c:axId val="55961088"/>
        <c:axId val="55962624"/>
        <c:extLst/>
      </c:barChart>
      <c:catAx>
        <c:axId val="55961088"/>
        <c:scaling>
          <c:orientation val="minMax"/>
        </c:scaling>
        <c:delete val="0"/>
        <c:axPos val="b"/>
        <c:numFmt formatCode="General" sourceLinked="0"/>
        <c:majorTickMark val="none"/>
        <c:minorTickMark val="none"/>
        <c:tickLblPos val="nextTo"/>
        <c:txPr>
          <a:bodyPr rot="-2700000" vert="horz"/>
          <a:lstStyle/>
          <a:p>
            <a:pPr>
              <a:defRPr/>
            </a:pPr>
            <a:endParaRPr lang="en-US"/>
          </a:p>
        </c:txPr>
        <c:crossAx val="55962624"/>
        <c:crosses val="autoZero"/>
        <c:auto val="0"/>
        <c:lblAlgn val="ctr"/>
        <c:lblOffset val="100"/>
        <c:noMultiLvlLbl val="0"/>
      </c:catAx>
      <c:valAx>
        <c:axId val="55962624"/>
        <c:scaling>
          <c:orientation val="minMax"/>
        </c:scaling>
        <c:delete val="0"/>
        <c:axPos val="l"/>
        <c:title>
          <c:tx>
            <c:rich>
              <a:bodyPr/>
              <a:lstStyle/>
              <a:p>
                <a:pPr>
                  <a:defRPr/>
                </a:pPr>
                <a:r>
                  <a:rPr lang="en-US"/>
                  <a:t>tCO2e</a:t>
                </a:r>
              </a:p>
            </c:rich>
          </c:tx>
          <c:overlay val="0"/>
        </c:title>
        <c:numFmt formatCode="#,##0.00" sourceLinked="1"/>
        <c:majorTickMark val="out"/>
        <c:minorTickMark val="none"/>
        <c:tickLblPos val="nextTo"/>
        <c:crossAx val="55961088"/>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t>Sumber emisi</a:t>
            </a:r>
          </a:p>
        </c:rich>
      </c:tx>
      <c:overlay val="0"/>
    </c:title>
    <c:autoTitleDeleted val="0"/>
    <c:plotArea>
      <c:layout/>
      <c:barChart>
        <c:barDir val="col"/>
        <c:grouping val="clustered"/>
        <c:varyColors val="0"/>
        <c:ser>
          <c:idx val="0"/>
          <c:order val="0"/>
          <c:tx>
            <c:strRef>
              <c:f>'Ringkasan Hasil'!$H$28</c:f>
              <c:strCache>
                <c:ptCount val="1"/>
                <c:pt idx="0">
                  <c:v>tCO2e</c:v>
                </c:pt>
              </c:strCache>
            </c:strRef>
          </c:tx>
          <c:spPr>
            <a:solidFill>
              <a:schemeClr val="accent2"/>
            </a:solidFill>
          </c:spPr>
          <c:invertIfNegative val="0"/>
          <c:dPt>
            <c:idx val="1"/>
            <c:invertIfNegative val="0"/>
            <c:bubble3D val="0"/>
            <c:spPr>
              <a:solidFill>
                <a:srgbClr val="00B050"/>
              </a:solidFill>
            </c:spPr>
            <c:extLst>
              <c:ext xmlns:c16="http://schemas.microsoft.com/office/drawing/2014/chart" uri="{C3380CC4-5D6E-409C-BE32-E72D297353CC}">
                <c16:uniqueId val="{00000001-972E-44DD-BD27-D4C3FC1589F9}"/>
              </c:ext>
            </c:extLst>
          </c:dPt>
          <c:dPt>
            <c:idx val="6"/>
            <c:invertIfNegative val="0"/>
            <c:bubble3D val="0"/>
            <c:spPr>
              <a:solidFill>
                <a:srgbClr val="00B050"/>
              </a:solidFill>
            </c:spPr>
            <c:extLst>
              <c:ext xmlns:c16="http://schemas.microsoft.com/office/drawing/2014/chart" uri="{C3380CC4-5D6E-409C-BE32-E72D297353CC}">
                <c16:uniqueId val="{00000003-972E-44DD-BD27-D4C3FC1589F9}"/>
              </c:ext>
            </c:extLst>
          </c:dPt>
          <c:cat>
            <c:strRef>
              <c:f>'Ringkasan Hasil'!$G$29:$G$37</c:f>
              <c:strCache>
                <c:ptCount val="9"/>
                <c:pt idx="0">
                  <c:v>Pembersihan lahan</c:v>
                </c:pt>
                <c:pt idx="1">
                  <c:v>Penyerapan karbon oleh tanaman</c:v>
                </c:pt>
                <c:pt idx="2">
                  <c:v>Lahan gambut</c:v>
                </c:pt>
                <c:pt idx="3">
                  <c:v>Pupuk &amp; N2O</c:v>
                </c:pt>
                <c:pt idx="4">
                  <c:v>Kredit konservasi</c:v>
                </c:pt>
                <c:pt idx="5">
                  <c:v>POME</c:v>
                </c:pt>
                <c:pt idx="6">
                  <c:v>Bahan bakar (mill &amp; kebun)</c:v>
                </c:pt>
                <c:pt idx="7">
                  <c:v>Listrik yang dibeli</c:v>
                </c:pt>
                <c:pt idx="8">
                  <c:v>Kredit (listrik &amp; biomassa)</c:v>
                </c:pt>
              </c:strCache>
            </c:strRef>
          </c:cat>
          <c:val>
            <c:numRef>
              <c:f>'Ringkasan Hasil'!$H$29:$H$37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972E-44DD-BD27-D4C3FC1589F9}"/>
            </c:ext>
          </c:extLst>
        </c:ser>
        <c:dLbls>
          <c:showLegendKey val="0"/>
          <c:showVal val="0"/>
          <c:showCatName val="0"/>
          <c:showSerName val="0"/>
          <c:showPercent val="0"/>
          <c:showBubbleSize val="0"/>
        </c:dLbls>
        <c:gapWidth val="150"/>
        <c:axId val="55859456"/>
        <c:axId val="55869440"/>
      </c:barChart>
      <c:catAx>
        <c:axId val="55859456"/>
        <c:scaling>
          <c:orientation val="minMax"/>
        </c:scaling>
        <c:delete val="0"/>
        <c:axPos val="b"/>
        <c:numFmt formatCode="General" sourceLinked="0"/>
        <c:majorTickMark val="none"/>
        <c:minorTickMark val="none"/>
        <c:tickLblPos val="nextTo"/>
        <c:crossAx val="55869440"/>
        <c:crosses val="autoZero"/>
        <c:auto val="1"/>
        <c:lblAlgn val="ctr"/>
        <c:lblOffset val="100"/>
        <c:noMultiLvlLbl val="0"/>
      </c:catAx>
      <c:valAx>
        <c:axId val="55869440"/>
        <c:scaling>
          <c:orientation val="minMax"/>
        </c:scaling>
        <c:delete val="0"/>
        <c:axPos val="l"/>
        <c:majorGridlines/>
        <c:title>
          <c:tx>
            <c:rich>
              <a:bodyPr/>
              <a:lstStyle/>
              <a:p>
                <a:pPr>
                  <a:defRPr/>
                </a:pPr>
                <a:r>
                  <a:rPr lang="en-MY"/>
                  <a:t>tCO2e</a:t>
                </a:r>
              </a:p>
            </c:rich>
          </c:tx>
          <c:overlay val="0"/>
        </c:title>
        <c:numFmt formatCode="#,##0" sourceLinked="1"/>
        <c:majorTickMark val="none"/>
        <c:minorTickMark val="none"/>
        <c:tickLblPos val="nextTo"/>
        <c:crossAx val="5585945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rPr>
              <a:t>Emisi Ladang</a:t>
            </a:r>
          </a:p>
        </c:rich>
      </c:tx>
      <c:overlay val="0"/>
      <c:spPr>
        <a:noFill/>
        <a:ln>
          <a:noFill/>
        </a:ln>
        <a:effectLst/>
      </c:spPr>
    </c:title>
    <c:autoTitleDeleted val="0"/>
    <c:plotArea>
      <c:layout/>
      <c:barChart>
        <c:barDir val="col"/>
        <c:grouping val="clustered"/>
        <c:varyColors val="0"/>
        <c:ser>
          <c:idx val="0"/>
          <c:order val="0"/>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'Ringkasan Hasil'!$H$4:$H$9</c:f>
              <c:strCache>
                <c:ptCount val="6"/>
                <c:pt idx="0">
                  <c:v>Pembersihan lahan</c:v>
                </c:pt>
                <c:pt idx="1">
                  <c:v>Penyerapan karbon oleh tanaman</c:v>
                </c:pt>
                <c:pt idx="2">
                  <c:v>Pupuk &amp; N2O</c:v>
                </c:pt>
                <c:pt idx="3">
                  <c:v>Bahan bakar kebun</c:v>
                </c:pt>
                <c:pt idx="4">
                  <c:v>Lahan gambut</c:v>
                </c:pt>
                <c:pt idx="5">
                  <c:v>Kredit konservasi</c:v>
                </c:pt>
              </c:strCache>
            </c:strRef>
          </c:cat>
          <c:val>
            <c:numRef>
              <c:f>'Ringkasan Hasil'!$I$4:$I$9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9D1-48E6-9EAF-E46CA315C4A5}"/>
            </c:ext>
          </c:extLst>
        </c:ser>
        <c:dLbls>
          <c:showLegendKey val="0"/>
          <c:showVal val="0"/>
          <c:showCatName val="0"/>
          <c:showSerName val="0"/>
          <c:showPercent val="0"/>
          <c:showBubbleSize val="0"/>
        </c:dLbls>
        <c:gapWidth val="100"/>
        <c:overlap val="-24"/>
        <c:axId val="56120064"/>
        <c:axId val="56121600"/>
      </c:barChart>
      <c:catAx>
        <c:axId val="56120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121600"/>
        <c:crosses val="autoZero"/>
        <c:auto val="1"/>
        <c:lblAlgn val="ctr"/>
        <c:lblOffset val="100"/>
        <c:noMultiLvlLbl val="0"/>
      </c:catAx>
      <c:valAx>
        <c:axId val="5612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b="1">
                    <a:solidFill>
                      <a:schemeClr val="tx1"/>
                    </a:solidFill>
                  </a:rPr>
                  <a:t>tCO2e</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120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785813</xdr:colOff>
      <xdr:row>43</xdr:row>
      <xdr:rowOff>157163</xdr:rowOff>
    </xdr:from>
    <xdr:to>
      <xdr:col>13</xdr:col>
      <xdr:colOff>342900</xdr:colOff>
      <xdr:row>59</xdr:row>
      <xdr:rowOff>28574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752474</xdr:colOff>
      <xdr:row>60</xdr:row>
      <xdr:rowOff>161925</xdr:rowOff>
    </xdr:from>
    <xdr:to>
      <xdr:col>13</xdr:col>
      <xdr:colOff>338137</xdr:colOff>
      <xdr:row>79</xdr:row>
      <xdr:rowOff>166687</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9524</xdr:colOff>
      <xdr:row>24</xdr:row>
      <xdr:rowOff>9525</xdr:rowOff>
    </xdr:from>
    <xdr:to>
      <xdr:col>13</xdr:col>
      <xdr:colOff>400050</xdr:colOff>
      <xdr:row>41</xdr:row>
      <xdr:rowOff>166687</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9524</xdr:colOff>
      <xdr:row>0</xdr:row>
      <xdr:rowOff>176211</xdr:rowOff>
    </xdr:from>
    <xdr:to>
      <xdr:col>12</xdr:col>
      <xdr:colOff>1143000</xdr:colOff>
      <xdr:row>17</xdr:row>
      <xdr:rowOff>85724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9</xdr:row>
      <xdr:rowOff>133349</xdr:rowOff>
    </xdr:from>
    <xdr:to>
      <xdr:col>6</xdr:col>
      <xdr:colOff>1676401</xdr:colOff>
      <xdr:row>14</xdr:row>
      <xdr:rowOff>28574</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4438651" y="2790824"/>
          <a:ext cx="48958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MY" sz="1100" b="1">
              <a:solidFill>
                <a:srgbClr val="FF0000"/>
              </a:solidFill>
              <a:effectLst/>
              <a:ea typeface="Calibri" panose="020F0502020204030204" pitchFamily="34" charset="0"/>
              <a:cs typeface="Times New Roman" panose="02020603050405020304" pitchFamily="18" charset="0"/>
            </a:rPr>
            <a:t>CATATAN PENTING UNTUK PARA PENGGUNA: </a:t>
          </a: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Silahkan asumsikan pertumbuhan maksimal untuk kelapa sawit hanya jika ini merupakan operasi skala komersil . Untuk petani plasma, silahkan menggunakan asumsi pertumbuhan rata-rata untuk kelapa sawit</a:t>
          </a:r>
          <a:endParaRPr lang="en-MY"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123824</xdr:colOff>
      <xdr:row>6</xdr:row>
      <xdr:rowOff>85725</xdr:rowOff>
    </xdr:from>
    <xdr:to>
      <xdr:col>21</xdr:col>
      <xdr:colOff>314325</xdr:colOff>
      <xdr:row>23</xdr:row>
      <xdr:rowOff>66674</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5284642" y="1947430"/>
          <a:ext cx="7143751" cy="3600449"/>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MY" sz="1200" b="1">
              <a:solidFill>
                <a:srgbClr val="000000"/>
              </a:solidFill>
              <a:effectLst/>
              <a:ea typeface="Calibri" panose="020F0502020204030204" pitchFamily="34" charset="0"/>
              <a:cs typeface="Calibri" panose="020F0502020204030204" pitchFamily="34" charset="0"/>
            </a:rPr>
            <a:t>Panduan mengenai pengelolaan permukaan air tanah untuk  PalmGHG </a:t>
          </a:r>
          <a:r>
            <a:rPr lang="en-MY" sz="1200">
              <a:solidFill>
                <a:srgbClr val="000000"/>
              </a:solidFill>
              <a:effectLst/>
              <a:ea typeface="Calibri" panose="020F0502020204030204" pitchFamily="34" charset="0"/>
              <a:cs typeface="Calibri" panose="020F0502020204030204" pitchFamily="34" charset="0"/>
            </a:rPr>
            <a:t> </a:t>
          </a:r>
        </a:p>
        <a:p>
          <a:pPr>
            <a:spcAft>
              <a:spcPts val="0"/>
            </a:spcAft>
          </a:pPr>
          <a:r>
            <a:rPr lang="en-MY" sz="1100">
              <a:solidFill>
                <a:srgbClr val="000000"/>
              </a:solidFill>
              <a:effectLst/>
              <a:ea typeface="Calibri" panose="020F0502020204030204" pitchFamily="34" charset="0"/>
              <a:cs typeface="Calibri" panose="020F0502020204030204" pitchFamily="34" charset="0"/>
            </a:rPr>
            <a:t>Dalam rangka untuk memberikan</a:t>
          </a:r>
          <a:r>
            <a:rPr lang="en-MY" sz="1100" baseline="0">
              <a:solidFill>
                <a:srgbClr val="000000"/>
              </a:solidFill>
              <a:effectLst/>
              <a:ea typeface="Calibri" panose="020F0502020204030204" pitchFamily="34" charset="0"/>
              <a:cs typeface="Calibri" panose="020F0502020204030204" pitchFamily="34" charset="0"/>
            </a:rPr>
            <a:t> kejelasan </a:t>
          </a:r>
          <a:r>
            <a:rPr lang="en-MY" sz="1100">
              <a:solidFill>
                <a:srgbClr val="000000"/>
              </a:solidFill>
              <a:effectLst/>
              <a:ea typeface="Calibri" panose="020F0502020204030204" pitchFamily="34" charset="0"/>
              <a:cs typeface="Calibri" panose="020F0502020204030204" pitchFamily="34" charset="0"/>
            </a:rPr>
            <a:t>dan bantuan untuk perusahaan-perusahaan dan para auditor mengenai penggunaan nilai-nilai</a:t>
          </a:r>
          <a:r>
            <a:rPr lang="en-MY" sz="1100" baseline="0">
              <a:solidFill>
                <a:srgbClr val="000000"/>
              </a:solidFill>
              <a:effectLst/>
              <a:ea typeface="Calibri" panose="020F0502020204030204" pitchFamily="34" charset="0"/>
              <a:cs typeface="Calibri" panose="020F0502020204030204" pitchFamily="34" charset="0"/>
            </a:rPr>
            <a:t> default </a:t>
          </a:r>
          <a:r>
            <a:rPr lang="en-MY" sz="1100">
              <a:solidFill>
                <a:srgbClr val="000000"/>
              </a:solidFill>
              <a:effectLst/>
              <a:ea typeface="Calibri" panose="020F0502020204030204" pitchFamily="34" charset="0"/>
              <a:cs typeface="Calibri" panose="020F0502020204030204" pitchFamily="34" charset="0"/>
            </a:rPr>
            <a:t>yang diberikan, Subgrup</a:t>
          </a:r>
          <a:r>
            <a:rPr lang="en-MY" sz="1100" baseline="0">
              <a:solidFill>
                <a:srgbClr val="000000"/>
              </a:solidFill>
              <a:effectLst/>
              <a:ea typeface="Calibri" panose="020F0502020204030204" pitchFamily="34" charset="0"/>
              <a:cs typeface="Calibri" panose="020F0502020204030204" pitchFamily="34" charset="0"/>
            </a:rPr>
            <a:t> </a:t>
          </a:r>
          <a:r>
            <a:rPr lang="en-MY" sz="1100">
              <a:solidFill>
                <a:srgbClr val="000000"/>
              </a:solidFill>
              <a:effectLst/>
              <a:ea typeface="Calibri" panose="020F0502020204030204" pitchFamily="34" charset="0"/>
              <a:cs typeface="Calibri" panose="020F0502020204030204" pitchFamily="34" charset="0"/>
            </a:rPr>
            <a:t>lahan  gambut dalam </a:t>
          </a:r>
          <a:r>
            <a:rPr lang="en-MY" sz="1100" i="1">
              <a:solidFill>
                <a:srgbClr val="000000"/>
              </a:solidFill>
              <a:effectLst/>
              <a:ea typeface="Calibri" panose="020F0502020204030204" pitchFamily="34" charset="0"/>
              <a:cs typeface="Calibri" panose="020F0502020204030204" pitchFamily="34" charset="0"/>
            </a:rPr>
            <a:t>Emissions Reduction Working Group</a:t>
          </a:r>
          <a:r>
            <a:rPr lang="en-MY" sz="1100">
              <a:solidFill>
                <a:srgbClr val="000000"/>
              </a:solidFill>
              <a:effectLst/>
              <a:ea typeface="Calibri" panose="020F0502020204030204" pitchFamily="34" charset="0"/>
              <a:cs typeface="Calibri" panose="020F0502020204030204" pitchFamily="34" charset="0"/>
            </a:rPr>
            <a:t> (ERWG) telah menyediakan panduan di bawah ini. ERWG mendorong</a:t>
          </a:r>
          <a:r>
            <a:rPr lang="en-MY" sz="1100" baseline="0">
              <a:solidFill>
                <a:srgbClr val="000000"/>
              </a:solidFill>
              <a:effectLst/>
              <a:ea typeface="Calibri" panose="020F0502020204030204" pitchFamily="34" charset="0"/>
              <a:cs typeface="Calibri" panose="020F0502020204030204" pitchFamily="34" charset="0"/>
            </a:rPr>
            <a:t> penggunaan </a:t>
          </a:r>
          <a:r>
            <a:rPr lang="en-MY" sz="1100">
              <a:solidFill>
                <a:srgbClr val="000000"/>
              </a:solidFill>
              <a:effectLst/>
              <a:ea typeface="Calibri" panose="020F0502020204030204" pitchFamily="34" charset="0"/>
              <a:cs typeface="Calibri" panose="020F0502020204030204" pitchFamily="34" charset="0"/>
            </a:rPr>
            <a:t>pengukuran aktual di kebun daripada penggunaan nilai-nilai default agar didapatkan perhitungan emisi yang lebih baik.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Pengelolaan air yang baik </a:t>
          </a:r>
          <a:r>
            <a:rPr lang="en-MY" sz="1100">
              <a:solidFill>
                <a:srgbClr val="000000"/>
              </a:solidFill>
              <a:effectLst/>
              <a:ea typeface="Calibri" panose="020F0502020204030204" pitchFamily="34" charset="0"/>
              <a:cs typeface="Calibri" panose="020F0502020204030204" pitchFamily="34" charset="0"/>
            </a:rPr>
            <a:t>akan meliputi yang berikut ini: Bangunan pengendalian air yang ditempatkan</a:t>
          </a:r>
          <a:r>
            <a:rPr lang="en-MY" sz="1100" baseline="0">
              <a:solidFill>
                <a:srgbClr val="000000"/>
              </a:solidFill>
              <a:effectLst/>
              <a:ea typeface="Calibri" panose="020F0502020204030204" pitchFamily="34" charset="0"/>
              <a:cs typeface="Calibri" panose="020F0502020204030204" pitchFamily="34" charset="0"/>
            </a:rPr>
            <a:t> sedemikian rupa </a:t>
          </a:r>
          <a:r>
            <a:rPr lang="en-MY" sz="1100">
              <a:solidFill>
                <a:srgbClr val="000000"/>
              </a:solidFill>
              <a:effectLst/>
              <a:ea typeface="Calibri" panose="020F0502020204030204" pitchFamily="34" charset="0"/>
              <a:cs typeface="Calibri" panose="020F0502020204030204" pitchFamily="34" charset="0"/>
            </a:rPr>
            <a:t>untuk membuat satu penampungan sementara /bendung untuk setiap 20 cm penurunan ketinggian  (yaitu ketinggian muka penampungan sementara tersebut</a:t>
          </a:r>
          <a:r>
            <a:rPr lang="en-MY" sz="1100" baseline="0">
              <a:solidFill>
                <a:srgbClr val="000000"/>
              </a:solidFill>
              <a:effectLst/>
              <a:ea typeface="Calibri" panose="020F0502020204030204" pitchFamily="34" charset="0"/>
              <a:cs typeface="Calibri" panose="020F0502020204030204" pitchFamily="34" charset="0"/>
            </a:rPr>
            <a:t> tidak boleh lebih dari </a:t>
          </a:r>
          <a:r>
            <a:rPr lang="en-MY" sz="1100">
              <a:solidFill>
                <a:srgbClr val="000000"/>
              </a:solidFill>
              <a:effectLst/>
              <a:ea typeface="Calibri" panose="020F0502020204030204" pitchFamily="34" charset="0"/>
              <a:cs typeface="Calibri" panose="020F0502020204030204" pitchFamily="34" charset="0"/>
            </a:rPr>
            <a:t>20 cm) apabila dimungkinkan. Rencana pengelolaan dan pemantauan air harus dibuat dan pemantauan air yang dilakukan dan hasil</a:t>
          </a:r>
          <a:r>
            <a:rPr lang="en-MY" sz="1100" baseline="0">
              <a:solidFill>
                <a:srgbClr val="000000"/>
              </a:solidFill>
              <a:effectLst/>
              <a:ea typeface="Calibri" panose="020F0502020204030204" pitchFamily="34" charset="0"/>
              <a:cs typeface="Calibri" panose="020F0502020204030204" pitchFamily="34" charset="0"/>
            </a:rPr>
            <a:t> yang dicatatan minimal sebulan sekali</a:t>
          </a:r>
          <a:r>
            <a:rPr lang="en-MY" sz="1100">
              <a:solidFill>
                <a:srgbClr val="000000"/>
              </a:solidFill>
              <a:effectLst/>
              <a:ea typeface="Calibri" panose="020F0502020204030204" pitchFamily="34" charset="0"/>
              <a:cs typeface="Calibri" panose="020F0502020204030204" pitchFamily="34" charset="0"/>
            </a:rPr>
            <a:t>. Harus dilakukan respon pengelolaan berdasarkan pemantauan untuk memastikan ketinggian air dijaga dalam kisaran 50-70 cm di bawah permukaan di saluran pembuangan penampungan dan 40-60cm di piezometer/selokan kebun.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a:solidFill>
                <a:srgbClr val="000000"/>
              </a:solidFill>
              <a:effectLst/>
              <a:ea typeface="Calibri" panose="020F0502020204030204" pitchFamily="34" charset="0"/>
              <a:cs typeface="Calibri" panose="020F0502020204030204" pitchFamily="34" charset="0"/>
            </a:rPr>
            <a:t>Pengukuran default untuk pengelolaan air yang baik di PalmGHG </a:t>
          </a:r>
          <a:r>
            <a:rPr lang="en-MY" sz="1100" baseline="0">
              <a:solidFill>
                <a:srgbClr val="000000"/>
              </a:solidFill>
              <a:effectLst/>
              <a:ea typeface="Calibri" panose="020F0502020204030204" pitchFamily="34" charset="0"/>
              <a:cs typeface="Calibri" panose="020F0502020204030204" pitchFamily="34" charset="0"/>
            </a:rPr>
            <a:t>adalah </a:t>
          </a:r>
          <a:r>
            <a:rPr lang="en-MY" sz="1100">
              <a:solidFill>
                <a:srgbClr val="000000"/>
              </a:solidFill>
              <a:effectLst/>
              <a:ea typeface="Calibri" panose="020F0502020204030204" pitchFamily="34" charset="0"/>
              <a:cs typeface="Calibri" panose="020F0502020204030204" pitchFamily="34" charset="0"/>
            </a:rPr>
            <a:t>60 cm.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Pengelolaan air secara parsial </a:t>
          </a:r>
          <a:r>
            <a:rPr lang="en-MY" sz="1100">
              <a:solidFill>
                <a:srgbClr val="000000"/>
              </a:solidFill>
              <a:effectLst/>
              <a:ea typeface="Calibri" panose="020F0502020204030204" pitchFamily="34" charset="0"/>
              <a:cs typeface="Calibri" panose="020F0502020204030204" pitchFamily="34" charset="0"/>
            </a:rPr>
            <a:t>akan melibatkan bangunan-bangunan</a:t>
          </a:r>
          <a:r>
            <a:rPr lang="en-MY" sz="1100" baseline="0">
              <a:solidFill>
                <a:srgbClr val="000000"/>
              </a:solidFill>
              <a:effectLst/>
              <a:ea typeface="Calibri" panose="020F0502020204030204" pitchFamily="34" charset="0"/>
              <a:cs typeface="Calibri" panose="020F0502020204030204" pitchFamily="34" charset="0"/>
            </a:rPr>
            <a:t> pengendalian </a:t>
          </a:r>
          <a:r>
            <a:rPr lang="en-MY" sz="1100">
              <a:solidFill>
                <a:srgbClr val="000000"/>
              </a:solidFill>
              <a:effectLst/>
              <a:ea typeface="Calibri" panose="020F0502020204030204" pitchFamily="34" charset="0"/>
              <a:cs typeface="Calibri" panose="020F0502020204030204" pitchFamily="34" charset="0"/>
            </a:rPr>
            <a:t>dan program pemantauan air yang ada namun tidak cukup untuk memenuhi standar-standar untuk pengelolaan yang baik dan memastikan ketinggian air di kisaran 50-70 cm dalam saluran pembuangan</a:t>
          </a:r>
          <a:r>
            <a:rPr lang="en-MY" sz="1100" baseline="0">
              <a:solidFill>
                <a:srgbClr val="000000"/>
              </a:solidFill>
              <a:effectLst/>
              <a:ea typeface="Calibri" panose="020F0502020204030204" pitchFamily="34" charset="0"/>
              <a:cs typeface="Calibri" panose="020F0502020204030204" pitchFamily="34" charset="0"/>
            </a:rPr>
            <a:t> penampung </a:t>
          </a:r>
          <a:r>
            <a:rPr lang="en-MY" sz="1100">
              <a:solidFill>
                <a:srgbClr val="000000"/>
              </a:solidFill>
              <a:effectLst/>
              <a:ea typeface="Calibri" panose="020F0502020204030204" pitchFamily="34" charset="0"/>
              <a:cs typeface="Calibri" panose="020F0502020204030204" pitchFamily="34" charset="0"/>
            </a:rPr>
            <a:t>dan 40-60 cm di kebun.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a:solidFill>
                <a:srgbClr val="000000"/>
              </a:solidFill>
              <a:effectLst/>
              <a:ea typeface="Calibri" panose="020F0502020204030204" pitchFamily="34" charset="0"/>
              <a:cs typeface="Calibri" panose="020F0502020204030204" pitchFamily="34" charset="0"/>
            </a:rPr>
            <a:t>Pengukuran default untuk pengelolaan air secara parsial di PalmGHG adalah 75 cm.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Tidak</a:t>
          </a:r>
          <a:r>
            <a:rPr lang="en-MY" sz="1100" b="1" baseline="0">
              <a:solidFill>
                <a:srgbClr val="000000"/>
              </a:solidFill>
              <a:effectLst/>
              <a:ea typeface="Calibri" panose="020F0502020204030204" pitchFamily="34" charset="0"/>
              <a:cs typeface="Calibri" panose="020F0502020204030204" pitchFamily="34" charset="0"/>
            </a:rPr>
            <a:t> ada pengelolaan air </a:t>
          </a:r>
          <a:r>
            <a:rPr lang="en-MY" sz="1100">
              <a:solidFill>
                <a:srgbClr val="000000"/>
              </a:solidFill>
              <a:effectLst/>
              <a:ea typeface="Calibri" panose="020F0502020204030204" pitchFamily="34" charset="0"/>
              <a:cs typeface="Calibri" panose="020F0502020204030204" pitchFamily="34" charset="0"/>
            </a:rPr>
            <a:t>meliputi tidak adanya bangunan pengendali dan program pemantauan air.  Pengukuran </a:t>
          </a:r>
          <a:r>
            <a:rPr lang="en-MY" sz="1100">
              <a:solidFill>
                <a:sysClr val="windowText" lastClr="000000"/>
              </a:solidFill>
              <a:effectLst/>
              <a:ea typeface="Calibri" panose="020F0502020204030204" pitchFamily="34" charset="0"/>
              <a:cs typeface="Times New Roman" panose="02020603050405020304" pitchFamily="18" charset="0"/>
            </a:rPr>
            <a:t>default untuk tidak</a:t>
          </a:r>
          <a:r>
            <a:rPr lang="en-MY" sz="1100" baseline="0">
              <a:solidFill>
                <a:sysClr val="windowText" lastClr="000000"/>
              </a:solidFill>
              <a:effectLst/>
              <a:ea typeface="Calibri" panose="020F0502020204030204" pitchFamily="34" charset="0"/>
              <a:cs typeface="Times New Roman" panose="02020603050405020304" pitchFamily="18" charset="0"/>
            </a:rPr>
            <a:t> ada pengelolaan air </a:t>
          </a:r>
          <a:r>
            <a:rPr lang="en-MY" sz="1100">
              <a:solidFill>
                <a:sysClr val="windowText" lastClr="000000"/>
              </a:solidFill>
              <a:effectLst/>
              <a:ea typeface="Calibri" panose="020F0502020204030204" pitchFamily="34" charset="0"/>
              <a:cs typeface="Times New Roman" panose="02020603050405020304" pitchFamily="18" charset="0"/>
            </a:rPr>
            <a:t>di PalmGHG adalah 100 cm.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11</xdr:row>
      <xdr:rowOff>133350</xdr:rowOff>
    </xdr:from>
    <xdr:to>
      <xdr:col>9</xdr:col>
      <xdr:colOff>971550</xdr:colOff>
      <xdr:row>16</xdr:row>
      <xdr:rowOff>142875</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9848850" y="2733675"/>
          <a:ext cx="1828800" cy="1047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MY" sz="1100">
              <a:solidFill>
                <a:schemeClr val="tx1"/>
              </a:solidFill>
            </a:rPr>
            <a:t>Perlu memasukan catatan penasehat untuk memasukan faktor emisi  untuk</a:t>
          </a:r>
          <a:r>
            <a:rPr lang="en-MY" sz="1100" baseline="0">
              <a:solidFill>
                <a:schemeClr val="tx1"/>
              </a:solidFill>
            </a:rPr>
            <a:t> biodiesel dan bioethanol berdasarkan  blend dan feedstock</a:t>
          </a:r>
          <a:r>
            <a:rPr lang="en-MY" sz="1100"/>
            <a:t>e</a:t>
          </a:r>
        </a:p>
      </xdr:txBody>
    </xdr:sp>
    <xdr:clientData/>
  </xdr:twoCellAnchor>
  <xdr:twoCellAnchor>
    <xdr:from>
      <xdr:col>2</xdr:col>
      <xdr:colOff>28575</xdr:colOff>
      <xdr:row>40</xdr:row>
      <xdr:rowOff>219075</xdr:rowOff>
    </xdr:from>
    <xdr:to>
      <xdr:col>5</xdr:col>
      <xdr:colOff>285750</xdr:colOff>
      <xdr:row>63</xdr:row>
      <xdr:rowOff>9525</xdr:rowOff>
    </xdr:to>
    <xdr:cxnSp macro="">
      <xdr:nvCxnSpPr>
        <xdr:cNvPr id="4" name="Straight Arrow Connector 3">
          <a:extLst>
            <a:ext uri="{FF2B5EF4-FFF2-40B4-BE49-F238E27FC236}">
              <a16:creationId xmlns:a16="http://schemas.microsoft.com/office/drawing/2014/main" id="{00000000-0008-0000-0C00-000004000000}"/>
            </a:ext>
          </a:extLst>
        </xdr:cNvPr>
        <xdr:cNvCxnSpPr/>
      </xdr:nvCxnSpPr>
      <xdr:spPr>
        <a:xfrm flipV="1">
          <a:off x="4695825" y="8896350"/>
          <a:ext cx="3181350" cy="4781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20</xdr:row>
      <xdr:rowOff>95250</xdr:rowOff>
    </xdr:from>
    <xdr:to>
      <xdr:col>6</xdr:col>
      <xdr:colOff>1724025</xdr:colOff>
      <xdr:row>24</xdr:row>
      <xdr:rowOff>142875</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5048250" y="4848225"/>
          <a:ext cx="45910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MY" sz="1100" b="1">
              <a:solidFill>
                <a:srgbClr val="000000"/>
              </a:solidFill>
              <a:effectLst/>
              <a:ea typeface="Calibri" panose="020F0502020204030204" pitchFamily="34" charset="0"/>
              <a:cs typeface="Times New Roman" panose="02020603050405020304" pitchFamily="18" charset="0"/>
            </a:rPr>
            <a:t>Kegiatan untuk penggunaan bahan bakar mill tahunan di lokasi </a:t>
          </a:r>
          <a:endParaRPr lang="en-MY" sz="1100" b="1">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permulaan boiler (ketel uap)</a:t>
          </a:r>
          <a:endParaRPr lang="en-MY" sz="1100">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operasi genset selama</a:t>
          </a:r>
          <a:r>
            <a:rPr lang="en-MY" sz="1100" baseline="0">
              <a:solidFill>
                <a:srgbClr val="000000"/>
              </a:solidFill>
              <a:effectLst/>
              <a:ea typeface="Calibri" panose="020F0502020204030204" pitchFamily="34" charset="0"/>
              <a:cs typeface="Times New Roman" panose="02020603050405020304" pitchFamily="18" charset="0"/>
            </a:rPr>
            <a:t> </a:t>
          </a:r>
          <a:r>
            <a:rPr lang="en-MY" sz="1100">
              <a:solidFill>
                <a:srgbClr val="000000"/>
              </a:solidFill>
              <a:effectLst/>
              <a:ea typeface="Calibri" panose="020F0502020204030204" pitchFamily="34" charset="0"/>
              <a:cs typeface="Times New Roman" panose="02020603050405020304" pitchFamily="18" charset="0"/>
            </a:rPr>
            <a:t> down time (waktu henti)</a:t>
          </a:r>
          <a:endParaRPr lang="en-MY" sz="1100">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pemuat kendaraan mill , fork lift, kendaraan</a:t>
          </a:r>
          <a:r>
            <a:rPr lang="en-MY" sz="1100" baseline="0">
              <a:solidFill>
                <a:srgbClr val="000000"/>
              </a:solidFill>
              <a:effectLst/>
              <a:ea typeface="Calibri" panose="020F0502020204030204" pitchFamily="34" charset="0"/>
              <a:cs typeface="Times New Roman" panose="02020603050405020304" pitchFamily="18" charset="0"/>
            </a:rPr>
            <a:t> yang digunakan </a:t>
          </a:r>
          <a:r>
            <a:rPr lang="en-MY" sz="1100">
              <a:solidFill>
                <a:srgbClr val="000000"/>
              </a:solidFill>
              <a:effectLst/>
              <a:ea typeface="Calibri" panose="020F0502020204030204" pitchFamily="34" charset="0"/>
              <a:cs typeface="Times New Roman" panose="02020603050405020304" pitchFamily="18" charset="0"/>
            </a:rPr>
            <a:t>oleh staff pada dan di sekitar  mill</a:t>
          </a:r>
          <a:endParaRPr lang="en-MY" sz="1100">
            <a:effectLst/>
            <a:ea typeface="Calibri" panose="020F0502020204030204" pitchFamily="34" charset="0"/>
            <a:cs typeface="Times New Roman" panose="02020603050405020304" pitchFamily="18" charset="0"/>
          </a:endParaRPr>
        </a:p>
      </xdr:txBody>
    </xdr:sp>
    <xdr:clientData/>
  </xdr:twoCellAnchor>
  <xdr:twoCellAnchor>
    <xdr:from>
      <xdr:col>0</xdr:col>
      <xdr:colOff>1247775</xdr:colOff>
      <xdr:row>3</xdr:row>
      <xdr:rowOff>0</xdr:rowOff>
    </xdr:from>
    <xdr:to>
      <xdr:col>1</xdr:col>
      <xdr:colOff>381000</xdr:colOff>
      <xdr:row>12</xdr:row>
      <xdr:rowOff>57150</xdr:rowOff>
    </xdr:to>
    <xdr:sp macro="" textlink="">
      <xdr:nvSpPr>
        <xdr:cNvPr id="6" name="Rectangle 5">
          <a:extLst>
            <a:ext uri="{FF2B5EF4-FFF2-40B4-BE49-F238E27FC236}">
              <a16:creationId xmlns:a16="http://schemas.microsoft.com/office/drawing/2014/main" id="{00000000-0008-0000-0C00-000006000000}"/>
            </a:ext>
          </a:extLst>
        </xdr:cNvPr>
        <xdr:cNvSpPr/>
      </xdr:nvSpPr>
      <xdr:spPr>
        <a:xfrm>
          <a:off x="1247775" y="1076325"/>
          <a:ext cx="3124200" cy="1771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d-ID" sz="4400">
              <a:solidFill>
                <a:srgbClr val="FF0000"/>
              </a:solidFill>
            </a:rPr>
            <a:t>JANGAN DIKERJAKAN </a:t>
          </a:r>
          <a:endParaRPr lang="en-US" sz="4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c/Biofuels%20GHG%20calculator%20-%20version%203_0_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ir.Abdul-Manan/AppData/Local/Temp/wzfc68/BioGrace_GHG_calculations_-_version_4_-_Publ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merkingen bij versie"/>
      <sheetName val="Program definitions"/>
      <sheetName val="Results"/>
      <sheetName val="Results2"/>
      <sheetName val="Tabellen LUC"/>
      <sheetName val="LUC"/>
      <sheetName val="Input"/>
      <sheetName val="Calculations"/>
      <sheetName val="Conversion factors"/>
      <sheetName val="Energy use and GHG emission"/>
      <sheetName val="Fossil references"/>
      <sheetName val="Comparison Graphs"/>
      <sheetName val="C"/>
      <sheetName val="Chains"/>
      <sheetName val="Ethanol-Sugar beet"/>
      <sheetName val="Ethanol-Wheat-n.s."/>
      <sheetName val="Ethanol-Wheat-Lignite_CHP"/>
      <sheetName val="Ethanol-Wheat-NG_boiler"/>
      <sheetName val="Ethanol-Wheat-NG_CHP"/>
      <sheetName val="Ethanol-Wheat-Straw_CHP"/>
      <sheetName val="Ethanol-Corn-NG_CHP"/>
      <sheetName val="Ethanol-Sugar cane"/>
      <sheetName val="Biodiesel-Rapeseed"/>
      <sheetName val="Biodiesel-Sunflower"/>
      <sheetName val="Biodiesel-Soybean"/>
      <sheetName val="Biodiesel-Palmoil-n.s."/>
      <sheetName val="Biodiesel-Palmoil-CH4_capt"/>
      <sheetName val="Biodiesel-Wasteoil"/>
      <sheetName val="HVO-Rapeseed"/>
      <sheetName val="HVO-Sunflower"/>
      <sheetName val="HVO-Palmoil-n.s."/>
      <sheetName val="HVO-Palmoil-CH4_capt"/>
      <sheetName val="PureVegOil-Rapeseed"/>
      <sheetName val="Biogas (CNG)-MOW"/>
      <sheetName val="Biogas (CNG)-Wet_manure"/>
      <sheetName val="Biogas (CNG)-Dry_man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1">
          <cell r="H11" t="str">
            <v>Suger beet</v>
          </cell>
        </row>
        <row r="12">
          <cell r="H12" t="str">
            <v>Wheat</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Directory"/>
      <sheetName val="LUC"/>
      <sheetName val="Esca"/>
      <sheetName val="N2O emissions IPCC "/>
      <sheetName val="E-Sb"/>
      <sheetName val="E-Wt (not.spec.)"/>
      <sheetName val="E-Wt (Lign-chp)"/>
      <sheetName val="E-Wt (NG-b)"/>
      <sheetName val="E-Wt (NG-chp)"/>
      <sheetName val="E-Wt (Str-chp)"/>
      <sheetName val="E-Co"/>
      <sheetName val="E-Sc"/>
      <sheetName val="F-Rs"/>
      <sheetName val="F-Sf"/>
      <sheetName val="F-Sy"/>
      <sheetName val="F-Po"/>
      <sheetName val="F-Po (CH4 capt)"/>
      <sheetName val="F-Wo"/>
      <sheetName val="H-Rs"/>
      <sheetName val="H-Sf"/>
      <sheetName val="H-Po"/>
      <sheetName val="H-Po (CH4 capt)"/>
      <sheetName val="P-Rs"/>
      <sheetName val="CNG-OW"/>
      <sheetName val="CNG-wM"/>
      <sheetName val="CNG-dM"/>
      <sheetName val="User defined standard values"/>
      <sheetName val="Perhitungan Emisi (2)"/>
    </sheetNames>
    <sheetDataSet>
      <sheetData sheetId="0" refreshError="1">
        <row r="79">
          <cell r="B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9"/>
  <sheetViews>
    <sheetView showGridLines="0" topLeftCell="A4" zoomScale="80" zoomScaleNormal="80" zoomScaleSheetLayoutView="100" workbookViewId="0">
      <selection activeCell="A5" sqref="A5"/>
    </sheetView>
  </sheetViews>
  <sheetFormatPr defaultColWidth="9.140625" defaultRowHeight="15" x14ac:dyDescent="0.25"/>
  <cols>
    <col min="1" max="1" width="171.85546875" style="57" customWidth="1"/>
    <col min="2" max="16384" width="9.140625" style="57"/>
  </cols>
  <sheetData>
    <row r="1" spans="1:1" ht="54" customHeight="1" x14ac:dyDescent="0.5">
      <c r="A1" s="364" t="s">
        <v>204</v>
      </c>
    </row>
    <row r="2" spans="1:1" s="330" customFormat="1" ht="134.25" customHeight="1" thickBot="1" x14ac:dyDescent="0.3">
      <c r="A2" s="333" t="s">
        <v>449</v>
      </c>
    </row>
    <row r="3" spans="1:1" ht="216.75" customHeight="1" thickTop="1" thickBot="1" x14ac:dyDescent="0.3">
      <c r="A3" s="367" t="s">
        <v>450</v>
      </c>
    </row>
    <row r="4" spans="1:1" ht="15.75" thickTop="1" x14ac:dyDescent="0.25">
      <c r="A4" s="260"/>
    </row>
    <row r="5" spans="1:1" x14ac:dyDescent="0.2">
      <c r="A5" s="476" t="s">
        <v>480</v>
      </c>
    </row>
    <row r="6" spans="1:1" x14ac:dyDescent="0.25">
      <c r="A6" s="260"/>
    </row>
    <row r="7" spans="1:1" x14ac:dyDescent="0.25">
      <c r="A7" s="260"/>
    </row>
    <row r="8" spans="1:1" x14ac:dyDescent="0.25">
      <c r="A8" s="260"/>
    </row>
    <row r="9" spans="1:1" x14ac:dyDescent="0.25">
      <c r="A9" s="260"/>
    </row>
    <row r="10" spans="1:1" x14ac:dyDescent="0.25">
      <c r="A10" s="260"/>
    </row>
    <row r="11" spans="1:1" x14ac:dyDescent="0.25">
      <c r="A11" s="55"/>
    </row>
    <row r="12" spans="1:1" x14ac:dyDescent="0.25">
      <c r="A12" s="261"/>
    </row>
    <row r="13" spans="1:1" x14ac:dyDescent="0.25">
      <c r="A13" s="56"/>
    </row>
    <row r="14" spans="1:1" x14ac:dyDescent="0.25">
      <c r="A14" s="260"/>
    </row>
    <row r="15" spans="1:1" x14ac:dyDescent="0.25">
      <c r="A15" s="55"/>
    </row>
    <row r="16" spans="1:1" x14ac:dyDescent="0.25">
      <c r="A16" s="55"/>
    </row>
    <row r="17" spans="1:1" x14ac:dyDescent="0.25">
      <c r="A17" s="33"/>
    </row>
    <row r="18" spans="1:1" x14ac:dyDescent="0.25">
      <c r="A18" s="55"/>
    </row>
    <row r="19" spans="1:1" x14ac:dyDescent="0.25">
      <c r="A19" s="55"/>
    </row>
  </sheetData>
  <sheetProtection selectLockedCells="1" selectUnlockedCells="1"/>
  <customSheetViews>
    <customSheetView guid="{E65377FD-65C5-4E48-ADBC-1C49981F2400}">
      <pageMargins left="0.7" right="0.7" top="0.75" bottom="0.75" header="0.3" footer="0.3"/>
      <pageSetup orientation="portrait" r:id="rId1"/>
    </customSheetView>
  </customSheetView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S104"/>
  <sheetViews>
    <sheetView topLeftCell="A85" zoomScale="90" zoomScaleNormal="90" workbookViewId="0">
      <selection activeCell="A101" sqref="A101"/>
    </sheetView>
  </sheetViews>
  <sheetFormatPr defaultColWidth="9.140625" defaultRowHeight="15" x14ac:dyDescent="0.25"/>
  <cols>
    <col min="1" max="1" width="36.140625" style="61" customWidth="1"/>
    <col min="2" max="2" width="13" style="61" customWidth="1"/>
    <col min="3" max="3" width="9.5703125" style="61" customWidth="1"/>
    <col min="4" max="4" width="9.140625" style="61" customWidth="1"/>
    <col min="5" max="5" width="10" style="61" customWidth="1"/>
    <col min="6" max="6" width="13.140625" style="61" customWidth="1"/>
    <col min="7" max="7" width="20.85546875" style="61" customWidth="1"/>
    <col min="8" max="8" width="12.85546875" style="61" customWidth="1"/>
    <col min="9" max="9" width="12.7109375" style="61" customWidth="1"/>
    <col min="10" max="11" width="10" style="61" customWidth="1"/>
    <col min="12" max="12" width="8.7109375" style="61" customWidth="1"/>
    <col min="13" max="14" width="9.42578125" style="61" customWidth="1"/>
    <col min="15" max="15" width="7.7109375" style="61" customWidth="1"/>
    <col min="16" max="16" width="10.42578125" style="61" customWidth="1"/>
    <col min="17" max="17" width="12" style="61" customWidth="1"/>
    <col min="18" max="18" width="9.7109375" style="61" customWidth="1"/>
    <col min="19" max="16384" width="9.140625" style="61"/>
  </cols>
  <sheetData>
    <row r="1" spans="1:19" ht="18" x14ac:dyDescent="0.35">
      <c r="A1" s="75" t="s">
        <v>336</v>
      </c>
      <c r="G1" s="64"/>
      <c r="L1" s="68"/>
    </row>
    <row r="2" spans="1:19" x14ac:dyDescent="0.25">
      <c r="A2" s="75"/>
      <c r="G2" s="64"/>
      <c r="L2" s="68"/>
    </row>
    <row r="3" spans="1:19" ht="81.75" customHeight="1" x14ac:dyDescent="0.25">
      <c r="A3" s="440" t="s">
        <v>468</v>
      </c>
      <c r="B3" s="441"/>
      <c r="C3" s="441"/>
      <c r="D3" s="441"/>
      <c r="E3" s="441"/>
      <c r="F3" s="441"/>
      <c r="G3" s="424"/>
      <c r="H3" s="424"/>
      <c r="I3" s="424"/>
      <c r="J3" s="425"/>
    </row>
    <row r="4" spans="1:19" x14ac:dyDescent="0.25">
      <c r="A4" s="70"/>
      <c r="B4" s="77"/>
      <c r="I4" s="76"/>
      <c r="J4" s="76"/>
    </row>
    <row r="5" spans="1:19" ht="45" x14ac:dyDescent="0.25">
      <c r="A5" s="143" t="s">
        <v>342</v>
      </c>
      <c r="B5" s="44"/>
      <c r="I5" s="85"/>
      <c r="J5" s="85"/>
    </row>
    <row r="6" spans="1:19" x14ac:dyDescent="0.25">
      <c r="A6" s="71"/>
      <c r="B6" s="89"/>
      <c r="I6" s="76"/>
      <c r="J6" s="76"/>
    </row>
    <row r="7" spans="1:19" ht="63" customHeight="1" x14ac:dyDescent="0.25">
      <c r="A7" s="71" t="s">
        <v>232</v>
      </c>
      <c r="B7" s="438" t="s">
        <v>343</v>
      </c>
      <c r="C7" s="439"/>
      <c r="D7" s="410" t="s">
        <v>344</v>
      </c>
      <c r="E7" s="410" t="s">
        <v>345</v>
      </c>
      <c r="F7" s="79" t="s">
        <v>1</v>
      </c>
      <c r="J7" s="63"/>
      <c r="K7" s="63"/>
      <c r="L7" s="63"/>
      <c r="M7" s="63"/>
      <c r="N7" s="63"/>
      <c r="O7" s="63"/>
      <c r="P7" s="63"/>
      <c r="Q7" s="63"/>
      <c r="R7" s="63"/>
      <c r="S7" s="67"/>
    </row>
    <row r="8" spans="1:19" ht="64.5" customHeight="1" x14ac:dyDescent="0.35">
      <c r="A8" s="78"/>
      <c r="B8" s="411" t="s">
        <v>346</v>
      </c>
      <c r="C8" s="125" t="s">
        <v>44</v>
      </c>
      <c r="D8" s="125" t="s">
        <v>45</v>
      </c>
      <c r="E8" s="125" t="s">
        <v>45</v>
      </c>
      <c r="F8" s="125" t="s">
        <v>45</v>
      </c>
      <c r="G8" s="74"/>
      <c r="H8" s="125"/>
      <c r="I8" s="125"/>
      <c r="J8" s="125"/>
      <c r="K8" s="79"/>
      <c r="L8" s="63"/>
      <c r="M8" s="63"/>
      <c r="N8" s="63"/>
      <c r="O8" s="63"/>
      <c r="P8" s="63"/>
      <c r="Q8" s="63"/>
      <c r="R8" s="63"/>
      <c r="S8" s="67"/>
    </row>
    <row r="9" spans="1:19" x14ac:dyDescent="0.25">
      <c r="A9" s="61" t="s">
        <v>6</v>
      </c>
      <c r="B9" s="144">
        <v>6000</v>
      </c>
      <c r="C9" s="105">
        <f>B9*'Data default'!$B$6</f>
        <v>106.62</v>
      </c>
      <c r="D9" s="105">
        <f>$B$5*'Data default'!$B$14*2</f>
        <v>0</v>
      </c>
      <c r="E9" s="116">
        <f>'Data default'!$G40</f>
        <v>2380</v>
      </c>
      <c r="F9" s="92">
        <f>SUM(C9:E9)</f>
        <v>2486.62</v>
      </c>
      <c r="G9" s="74"/>
      <c r="H9" s="74"/>
      <c r="I9" s="74"/>
      <c r="J9" s="105"/>
      <c r="K9" s="63"/>
      <c r="L9" s="63"/>
      <c r="M9" s="63"/>
      <c r="N9" s="63"/>
      <c r="O9" s="63"/>
      <c r="P9" s="63"/>
      <c r="Q9" s="63"/>
      <c r="R9" s="63"/>
      <c r="S9" s="67"/>
    </row>
    <row r="10" spans="1:19" x14ac:dyDescent="0.25">
      <c r="A10" s="61" t="s">
        <v>2</v>
      </c>
      <c r="B10" s="144">
        <v>6000</v>
      </c>
      <c r="C10" s="105">
        <f>B10*'Data default'!$B$6</f>
        <v>106.62</v>
      </c>
      <c r="D10" s="105">
        <f>$B$5*'Data default'!$B$14*2</f>
        <v>0</v>
      </c>
      <c r="E10" s="116">
        <f>'Data default'!$G41</f>
        <v>340</v>
      </c>
      <c r="F10" s="92">
        <f t="shared" ref="F10:F18" si="0">SUM(C10:E10)</f>
        <v>446.62</v>
      </c>
      <c r="G10" s="74"/>
      <c r="H10" s="74"/>
      <c r="I10" s="74"/>
      <c r="J10" s="105"/>
      <c r="K10" s="63"/>
      <c r="L10" s="63"/>
      <c r="M10" s="63"/>
      <c r="N10" s="63"/>
      <c r="O10" s="63"/>
      <c r="P10" s="63"/>
      <c r="Q10" s="63"/>
      <c r="R10" s="63"/>
      <c r="S10" s="67"/>
    </row>
    <row r="11" spans="1:19" x14ac:dyDescent="0.25">
      <c r="A11" s="61" t="s">
        <v>7</v>
      </c>
      <c r="B11" s="144">
        <v>6000</v>
      </c>
      <c r="C11" s="105">
        <f>B11*'Data default'!$B$6</f>
        <v>106.62</v>
      </c>
      <c r="D11" s="105">
        <f>$B$5*'Data default'!$B$14*2</f>
        <v>0</v>
      </c>
      <c r="E11" s="116">
        <f>'Data default'!$G42</f>
        <v>460</v>
      </c>
      <c r="F11" s="92">
        <f t="shared" si="0"/>
        <v>566.62</v>
      </c>
      <c r="G11" s="74"/>
      <c r="H11" s="74"/>
      <c r="I11" s="74"/>
      <c r="J11" s="105"/>
      <c r="K11" s="63"/>
      <c r="L11" s="63"/>
      <c r="M11" s="63"/>
      <c r="N11" s="63"/>
      <c r="O11" s="63"/>
      <c r="P11" s="63"/>
      <c r="Q11" s="63"/>
      <c r="R11" s="63"/>
      <c r="S11" s="67"/>
    </row>
    <row r="12" spans="1:19" x14ac:dyDescent="0.25">
      <c r="A12" s="61" t="s">
        <v>3</v>
      </c>
      <c r="B12" s="144">
        <v>6000</v>
      </c>
      <c r="C12" s="105">
        <f>B12*'Data default'!$B$6</f>
        <v>106.62</v>
      </c>
      <c r="D12" s="105">
        <f>$B$5*'Data default'!$B$14*2</f>
        <v>0</v>
      </c>
      <c r="E12" s="116">
        <f>'Data default'!$G43</f>
        <v>1340</v>
      </c>
      <c r="F12" s="92">
        <f t="shared" si="0"/>
        <v>1446.62</v>
      </c>
      <c r="G12" s="74"/>
      <c r="H12" s="74"/>
      <c r="I12" s="74"/>
      <c r="J12" s="105"/>
      <c r="K12" s="63"/>
      <c r="L12" s="63"/>
      <c r="M12" s="63"/>
      <c r="N12" s="63"/>
      <c r="O12" s="63"/>
      <c r="P12" s="63"/>
      <c r="Q12" s="63"/>
      <c r="R12" s="63"/>
      <c r="S12" s="67"/>
    </row>
    <row r="13" spans="1:19" x14ac:dyDescent="0.25">
      <c r="A13" s="61" t="s">
        <v>74</v>
      </c>
      <c r="B13" s="144">
        <v>6000</v>
      </c>
      <c r="C13" s="105">
        <f>B13*'Data default'!$B$6</f>
        <v>106.62</v>
      </c>
      <c r="D13" s="105">
        <f>$B$5*'Data default'!$B$14*2</f>
        <v>0</v>
      </c>
      <c r="E13" s="116">
        <f>'Data default'!$G44</f>
        <v>1040</v>
      </c>
      <c r="F13" s="92">
        <f>SUM(C13:E13)</f>
        <v>1146.6199999999999</v>
      </c>
      <c r="G13" s="74"/>
      <c r="H13" s="74"/>
      <c r="I13" s="74"/>
      <c r="J13" s="105"/>
      <c r="K13" s="63"/>
      <c r="L13" s="63"/>
      <c r="M13" s="63"/>
      <c r="N13" s="63"/>
      <c r="O13" s="63"/>
      <c r="P13" s="63"/>
      <c r="Q13" s="63"/>
      <c r="R13" s="63"/>
      <c r="S13" s="67"/>
    </row>
    <row r="14" spans="1:19" x14ac:dyDescent="0.25">
      <c r="A14" s="61" t="s">
        <v>31</v>
      </c>
      <c r="B14" s="144">
        <v>6000</v>
      </c>
      <c r="C14" s="105">
        <f>B14*'Data default'!$B$6</f>
        <v>106.62</v>
      </c>
      <c r="D14" s="105">
        <f>$B$5*'Data default'!$B$14*2</f>
        <v>0</v>
      </c>
      <c r="E14" s="116">
        <f>'Data default'!$G45</f>
        <v>200</v>
      </c>
      <c r="F14" s="92">
        <f t="shared" si="0"/>
        <v>306.62</v>
      </c>
      <c r="G14" s="74"/>
      <c r="H14" s="74"/>
      <c r="I14" s="74"/>
      <c r="J14" s="105"/>
      <c r="K14" s="63"/>
      <c r="L14" s="63"/>
      <c r="M14" s="63"/>
      <c r="N14" s="63"/>
      <c r="O14" s="63"/>
      <c r="P14" s="63"/>
      <c r="Q14" s="63"/>
      <c r="R14" s="63"/>
      <c r="S14" s="67"/>
    </row>
    <row r="15" spans="1:19" x14ac:dyDescent="0.25">
      <c r="A15" s="61" t="s">
        <v>5</v>
      </c>
      <c r="B15" s="144">
        <v>6000</v>
      </c>
      <c r="C15" s="105">
        <f>B15*'Data default'!$B$6</f>
        <v>106.62</v>
      </c>
      <c r="D15" s="105">
        <f>$B$5*'Data default'!$B$14*2</f>
        <v>0</v>
      </c>
      <c r="E15" s="116">
        <f>'Data default'!$G46</f>
        <v>200</v>
      </c>
      <c r="F15" s="92">
        <f t="shared" si="0"/>
        <v>306.62</v>
      </c>
      <c r="G15" s="74"/>
      <c r="H15" s="74"/>
      <c r="I15" s="74"/>
      <c r="J15" s="105"/>
      <c r="K15" s="63"/>
      <c r="L15" s="63"/>
      <c r="M15" s="63"/>
      <c r="N15" s="63"/>
      <c r="O15" s="63"/>
      <c r="P15" s="63"/>
      <c r="Q15" s="63"/>
      <c r="R15" s="63"/>
      <c r="S15" s="67"/>
    </row>
    <row r="16" spans="1:19" x14ac:dyDescent="0.25">
      <c r="A16" s="61" t="s">
        <v>4</v>
      </c>
      <c r="B16" s="144">
        <v>6000</v>
      </c>
      <c r="C16" s="105">
        <f>B16*'Data default'!$B$6</f>
        <v>106.62</v>
      </c>
      <c r="D16" s="105">
        <f>$B$5*'Data default'!$B$14*2</f>
        <v>0</v>
      </c>
      <c r="E16" s="116">
        <f>'Data default'!$G47</f>
        <v>44</v>
      </c>
      <c r="F16" s="92">
        <f t="shared" si="0"/>
        <v>150.62</v>
      </c>
      <c r="G16" s="74"/>
      <c r="H16" s="74"/>
      <c r="I16" s="74"/>
      <c r="J16" s="105"/>
      <c r="K16" s="63"/>
      <c r="L16" s="63"/>
      <c r="M16" s="63"/>
      <c r="N16" s="63"/>
      <c r="O16" s="63"/>
      <c r="P16" s="63"/>
      <c r="Q16" s="63"/>
      <c r="R16" s="63"/>
      <c r="S16" s="67"/>
    </row>
    <row r="17" spans="1:19" x14ac:dyDescent="0.25">
      <c r="A17" s="61" t="s">
        <v>40</v>
      </c>
      <c r="B17" s="144">
        <v>6000</v>
      </c>
      <c r="C17" s="105">
        <f>B17*'Data default'!$B$6</f>
        <v>106.62</v>
      </c>
      <c r="D17" s="105">
        <f>$B$5*'Data default'!$B$14*2</f>
        <v>0</v>
      </c>
      <c r="E17" s="116">
        <f>'Data default'!$G48</f>
        <v>170</v>
      </c>
      <c r="F17" s="92">
        <f t="shared" si="0"/>
        <v>276.62</v>
      </c>
      <c r="G17" s="74"/>
      <c r="H17" s="74"/>
      <c r="I17" s="74"/>
      <c r="J17" s="105"/>
      <c r="K17" s="63"/>
      <c r="L17" s="63"/>
      <c r="M17" s="63"/>
      <c r="N17" s="63"/>
      <c r="O17" s="63"/>
      <c r="P17" s="63"/>
      <c r="Q17" s="63"/>
      <c r="R17" s="63"/>
      <c r="S17" s="67"/>
    </row>
    <row r="18" spans="1:19" x14ac:dyDescent="0.25">
      <c r="A18" s="61" t="s">
        <v>41</v>
      </c>
      <c r="B18" s="144">
        <v>6000</v>
      </c>
      <c r="C18" s="105">
        <f>B18*'Data default'!$B$6</f>
        <v>106.62</v>
      </c>
      <c r="D18" s="105">
        <f>$B$5*'Data default'!$B$14*2</f>
        <v>0</v>
      </c>
      <c r="E18" s="116">
        <f>'Data default'!$G49</f>
        <v>547</v>
      </c>
      <c r="F18" s="92">
        <f t="shared" si="0"/>
        <v>653.62</v>
      </c>
      <c r="G18" s="74"/>
      <c r="H18" s="74"/>
      <c r="I18" s="74"/>
      <c r="J18" s="105"/>
      <c r="K18" s="63"/>
      <c r="L18" s="63"/>
      <c r="M18" s="63"/>
      <c r="N18" s="63"/>
      <c r="O18" s="63"/>
      <c r="P18" s="63"/>
      <c r="Q18" s="63"/>
      <c r="R18" s="63"/>
      <c r="S18" s="67"/>
    </row>
    <row r="19" spans="1:19" x14ac:dyDescent="0.25">
      <c r="A19" s="208"/>
      <c r="B19" s="144">
        <v>6000</v>
      </c>
      <c r="C19" s="207">
        <f>B19*'Data default'!$B$6</f>
        <v>106.62</v>
      </c>
      <c r="D19" s="207">
        <f>$B$5*'Data default'!$B$14*2</f>
        <v>0</v>
      </c>
      <c r="E19" s="116">
        <f>'Data default'!$G50</f>
        <v>0</v>
      </c>
      <c r="F19" s="209">
        <f>SUM(C19:E19)</f>
        <v>106.62</v>
      </c>
      <c r="G19" s="74"/>
      <c r="H19" s="74"/>
      <c r="I19" s="74"/>
      <c r="J19" s="105"/>
      <c r="K19" s="63"/>
      <c r="L19" s="63"/>
      <c r="M19" s="63"/>
      <c r="N19" s="63"/>
      <c r="O19" s="63"/>
      <c r="P19" s="63"/>
      <c r="Q19" s="63"/>
      <c r="R19" s="63"/>
      <c r="S19" s="67"/>
    </row>
    <row r="20" spans="1:19" x14ac:dyDescent="0.25">
      <c r="A20" s="208"/>
      <c r="B20" s="144">
        <v>6000</v>
      </c>
      <c r="C20" s="207">
        <f>B20*'Data default'!$B$6</f>
        <v>106.62</v>
      </c>
      <c r="D20" s="207">
        <f>$B$5*'Data default'!$B$14*2</f>
        <v>0</v>
      </c>
      <c r="E20" s="116">
        <f>'Data default'!$G51</f>
        <v>0</v>
      </c>
      <c r="F20" s="209">
        <f t="shared" ref="F20:F28" si="1">SUM(C20:E20)</f>
        <v>106.62</v>
      </c>
      <c r="G20" s="74"/>
      <c r="H20" s="74"/>
      <c r="I20" s="74"/>
      <c r="J20" s="105"/>
      <c r="K20" s="63"/>
      <c r="L20" s="63"/>
      <c r="M20" s="63"/>
      <c r="N20" s="63"/>
      <c r="O20" s="63"/>
      <c r="P20" s="63"/>
      <c r="Q20" s="63"/>
      <c r="R20" s="63"/>
      <c r="S20" s="67"/>
    </row>
    <row r="21" spans="1:19" x14ac:dyDescent="0.25">
      <c r="A21" s="208"/>
      <c r="B21" s="144">
        <v>6000</v>
      </c>
      <c r="C21" s="207">
        <f>B21*'Data default'!$B$6</f>
        <v>106.62</v>
      </c>
      <c r="D21" s="207">
        <f>$B$5*'Data default'!$B$14*2</f>
        <v>0</v>
      </c>
      <c r="E21" s="116">
        <f>'Data default'!$G52</f>
        <v>0</v>
      </c>
      <c r="F21" s="209">
        <f t="shared" si="1"/>
        <v>106.62</v>
      </c>
      <c r="G21" s="74"/>
      <c r="H21" s="74"/>
      <c r="I21" s="74"/>
      <c r="J21" s="105"/>
      <c r="K21" s="63"/>
      <c r="L21" s="63"/>
      <c r="M21" s="63"/>
      <c r="N21" s="63"/>
      <c r="O21" s="63"/>
      <c r="P21" s="63"/>
      <c r="Q21" s="63"/>
      <c r="R21" s="63"/>
      <c r="S21" s="67"/>
    </row>
    <row r="22" spans="1:19" x14ac:dyDescent="0.25">
      <c r="A22" s="208"/>
      <c r="B22" s="206">
        <v>6000</v>
      </c>
      <c r="C22" s="207">
        <f>B22*'Data default'!$B$6</f>
        <v>106.62</v>
      </c>
      <c r="D22" s="207">
        <f>$B$5*'Data default'!$B$14*2</f>
        <v>0</v>
      </c>
      <c r="E22" s="116">
        <f>'Data default'!$G53</f>
        <v>0</v>
      </c>
      <c r="F22" s="209">
        <f t="shared" si="1"/>
        <v>106.62</v>
      </c>
      <c r="G22" s="74"/>
      <c r="H22" s="74"/>
      <c r="I22" s="74"/>
      <c r="J22" s="105"/>
      <c r="K22" s="63"/>
      <c r="L22" s="63"/>
      <c r="M22" s="63"/>
      <c r="N22" s="63"/>
      <c r="O22" s="63"/>
      <c r="P22" s="63"/>
      <c r="Q22" s="63"/>
      <c r="R22" s="63"/>
      <c r="S22" s="67"/>
    </row>
    <row r="23" spans="1:19" x14ac:dyDescent="0.25">
      <c r="A23" s="208"/>
      <c r="B23" s="206">
        <v>6000</v>
      </c>
      <c r="C23" s="207">
        <f>B23*'Data default'!$B$6</f>
        <v>106.62</v>
      </c>
      <c r="D23" s="207">
        <f>$B$5*'Data default'!$B$14*2</f>
        <v>0</v>
      </c>
      <c r="E23" s="116">
        <f>'Data default'!$G54</f>
        <v>0</v>
      </c>
      <c r="F23" s="209">
        <f t="shared" si="1"/>
        <v>106.62</v>
      </c>
      <c r="G23" s="74"/>
      <c r="H23" s="74"/>
      <c r="I23" s="74"/>
      <c r="J23" s="105"/>
      <c r="K23" s="63"/>
      <c r="L23" s="63"/>
      <c r="M23" s="63"/>
      <c r="N23" s="63"/>
      <c r="O23" s="63"/>
      <c r="P23" s="63"/>
      <c r="Q23" s="63"/>
      <c r="R23" s="63"/>
      <c r="S23" s="67"/>
    </row>
    <row r="24" spans="1:19" x14ac:dyDescent="0.25">
      <c r="A24" s="208" t="str">
        <f>'5. Pupuk pilihan pengguna'!C141</f>
        <v>Pilihan pengguna 6</v>
      </c>
      <c r="B24" s="206">
        <v>6000</v>
      </c>
      <c r="C24" s="207">
        <f>B24*'Data default'!$B$6</f>
        <v>106.62</v>
      </c>
      <c r="D24" s="207">
        <f>$B$5*'Data default'!$B$14*2</f>
        <v>0</v>
      </c>
      <c r="E24" s="116">
        <f>'Data default'!$G55</f>
        <v>212.5</v>
      </c>
      <c r="F24" s="209">
        <f t="shared" si="1"/>
        <v>319.12</v>
      </c>
      <c r="G24" s="74"/>
      <c r="H24" s="74"/>
      <c r="I24" s="74"/>
      <c r="J24" s="105"/>
      <c r="K24" s="63"/>
      <c r="L24" s="63"/>
      <c r="M24" s="63"/>
      <c r="N24" s="63"/>
      <c r="O24" s="63"/>
      <c r="P24" s="63"/>
      <c r="Q24" s="63"/>
      <c r="R24" s="63"/>
      <c r="S24" s="67"/>
    </row>
    <row r="25" spans="1:19" x14ac:dyDescent="0.25">
      <c r="A25" s="208" t="str">
        <f>'5. Pupuk pilihan pengguna'!C167</f>
        <v>Pilihan pengguna 7</v>
      </c>
      <c r="B25" s="206">
        <v>6000</v>
      </c>
      <c r="C25" s="207">
        <f>B25*'Data default'!$B$6</f>
        <v>106.62</v>
      </c>
      <c r="D25" s="207">
        <f>$B$5*'Data default'!$B$14*2</f>
        <v>0</v>
      </c>
      <c r="E25" s="116">
        <f>'Data default'!$G56</f>
        <v>212.5</v>
      </c>
      <c r="F25" s="209">
        <f t="shared" si="1"/>
        <v>319.12</v>
      </c>
      <c r="G25" s="74"/>
      <c r="H25" s="74"/>
      <c r="I25" s="74"/>
      <c r="J25" s="105"/>
      <c r="K25" s="63"/>
      <c r="L25" s="63"/>
      <c r="M25" s="63"/>
      <c r="N25" s="63"/>
      <c r="O25" s="63"/>
      <c r="P25" s="63"/>
      <c r="Q25" s="63"/>
      <c r="R25" s="63"/>
      <c r="S25" s="67"/>
    </row>
    <row r="26" spans="1:19" x14ac:dyDescent="0.25">
      <c r="A26" s="208" t="str">
        <f>'5. Pupuk pilihan pengguna'!C193</f>
        <v>Pilihan pengguna 8</v>
      </c>
      <c r="B26" s="206">
        <v>6000</v>
      </c>
      <c r="C26" s="207">
        <f>B26*'Data default'!$B$6</f>
        <v>106.62</v>
      </c>
      <c r="D26" s="207">
        <f>$B$5*'Data default'!$B$14*2</f>
        <v>0</v>
      </c>
      <c r="E26" s="116">
        <f>'Data default'!$G57</f>
        <v>212.5</v>
      </c>
      <c r="F26" s="209">
        <f t="shared" si="1"/>
        <v>319.12</v>
      </c>
      <c r="G26" s="74"/>
      <c r="H26" s="74"/>
      <c r="I26" s="74"/>
      <c r="J26" s="105"/>
      <c r="K26" s="63"/>
      <c r="L26" s="63"/>
      <c r="M26" s="63"/>
      <c r="N26" s="63"/>
      <c r="O26" s="63"/>
      <c r="P26" s="63"/>
      <c r="Q26" s="63"/>
      <c r="R26" s="63"/>
      <c r="S26" s="67"/>
    </row>
    <row r="27" spans="1:19" x14ac:dyDescent="0.25">
      <c r="A27" s="208" t="str">
        <f>'5. Pupuk pilihan pengguna'!C219</f>
        <v>Pilihan pengguna 9</v>
      </c>
      <c r="B27" s="206">
        <v>6000</v>
      </c>
      <c r="C27" s="207">
        <f>B27*'Data default'!$B$6</f>
        <v>106.62</v>
      </c>
      <c r="D27" s="207">
        <f>$B$5*'Data default'!$B$14*2</f>
        <v>0</v>
      </c>
      <c r="E27" s="116">
        <f>'Data default'!$G58</f>
        <v>212.5</v>
      </c>
      <c r="F27" s="209">
        <f t="shared" si="1"/>
        <v>319.12</v>
      </c>
      <c r="G27" s="74"/>
      <c r="H27" s="74"/>
      <c r="I27" s="74"/>
      <c r="J27" s="105"/>
      <c r="K27" s="63"/>
      <c r="L27" s="63"/>
      <c r="M27" s="63"/>
      <c r="N27" s="63"/>
      <c r="O27" s="63"/>
      <c r="P27" s="63"/>
      <c r="Q27" s="63"/>
      <c r="R27" s="63"/>
      <c r="S27" s="67"/>
    </row>
    <row r="28" spans="1:19" x14ac:dyDescent="0.25">
      <c r="A28" s="208" t="str">
        <f>'5. Pupuk pilihan pengguna'!C245</f>
        <v>Pilihan pengguna 10</v>
      </c>
      <c r="B28" s="206">
        <v>6000</v>
      </c>
      <c r="C28" s="207">
        <f>B28*'Data default'!$B$6</f>
        <v>106.62</v>
      </c>
      <c r="D28" s="207">
        <f>$B$5*'Data default'!$B$14*2</f>
        <v>0</v>
      </c>
      <c r="E28" s="116">
        <f>'Data default'!$G59</f>
        <v>212.5</v>
      </c>
      <c r="F28" s="209">
        <f t="shared" si="1"/>
        <v>319.12</v>
      </c>
      <c r="G28" s="74"/>
      <c r="H28" s="74"/>
      <c r="I28" s="74"/>
      <c r="J28" s="105"/>
      <c r="K28" s="63"/>
      <c r="L28" s="63"/>
      <c r="M28" s="63"/>
      <c r="N28" s="63"/>
      <c r="O28" s="63"/>
      <c r="P28" s="63"/>
      <c r="Q28" s="63"/>
      <c r="R28" s="63"/>
      <c r="S28" s="67"/>
    </row>
    <row r="29" spans="1:19" x14ac:dyDescent="0.25">
      <c r="A29" s="205"/>
      <c r="B29" s="228"/>
      <c r="C29" s="207"/>
      <c r="D29" s="207"/>
      <c r="E29" s="208"/>
      <c r="F29" s="209"/>
      <c r="G29" s="74"/>
      <c r="H29" s="74"/>
      <c r="I29" s="74"/>
      <c r="J29" s="105"/>
      <c r="K29" s="63"/>
      <c r="L29" s="63"/>
      <c r="M29" s="63"/>
      <c r="N29" s="63"/>
      <c r="O29" s="63"/>
      <c r="P29" s="63"/>
      <c r="Q29" s="63"/>
      <c r="R29" s="63"/>
      <c r="S29" s="67"/>
    </row>
    <row r="30" spans="1:19" x14ac:dyDescent="0.25">
      <c r="A30" s="111" t="s">
        <v>347</v>
      </c>
      <c r="B30" s="74"/>
      <c r="C30" s="74"/>
      <c r="D30" s="74"/>
      <c r="E30" s="74"/>
      <c r="F30" s="74"/>
      <c r="G30" s="74"/>
      <c r="H30" s="74"/>
      <c r="I30" s="74"/>
      <c r="J30" s="105"/>
      <c r="K30" s="63"/>
      <c r="L30" s="63"/>
      <c r="M30" s="63"/>
      <c r="N30" s="63"/>
      <c r="O30" s="63"/>
      <c r="P30" s="63"/>
      <c r="Q30" s="63"/>
      <c r="R30" s="63"/>
      <c r="S30" s="67"/>
    </row>
    <row r="31" spans="1:19" x14ac:dyDescent="0.25">
      <c r="A31" s="210"/>
      <c r="B31" s="211"/>
      <c r="C31" s="211"/>
      <c r="D31" s="211"/>
      <c r="E31" s="212"/>
      <c r="G31" s="442" t="s">
        <v>381</v>
      </c>
      <c r="H31" s="444" t="s">
        <v>380</v>
      </c>
      <c r="I31" s="444"/>
      <c r="J31" s="74"/>
    </row>
    <row r="32" spans="1:19" ht="33.75" customHeight="1" x14ac:dyDescent="0.35">
      <c r="B32" s="45"/>
      <c r="C32" s="45"/>
      <c r="D32" s="45"/>
      <c r="E32" s="90"/>
      <c r="G32" s="443"/>
      <c r="H32" s="213" t="s">
        <v>70</v>
      </c>
      <c r="I32" s="214" t="s">
        <v>106</v>
      </c>
      <c r="J32" s="74"/>
    </row>
    <row r="33" spans="1:12" x14ac:dyDescent="0.25">
      <c r="A33" s="70" t="s">
        <v>348</v>
      </c>
      <c r="B33" s="66"/>
      <c r="C33" s="66"/>
      <c r="D33" s="90" t="s">
        <v>105</v>
      </c>
      <c r="E33" s="108" t="s">
        <v>349</v>
      </c>
      <c r="G33" s="215" t="s">
        <v>350</v>
      </c>
      <c r="H33" s="215" t="s">
        <v>350</v>
      </c>
      <c r="I33" s="215" t="s">
        <v>350</v>
      </c>
      <c r="J33" s="90"/>
      <c r="K33" s="90"/>
      <c r="L33" s="90"/>
    </row>
    <row r="34" spans="1:12" x14ac:dyDescent="0.25">
      <c r="A34" s="61" t="s">
        <v>6</v>
      </c>
      <c r="B34" s="95"/>
      <c r="C34" s="95"/>
      <c r="D34" s="226">
        <v>0</v>
      </c>
      <c r="E34" s="224">
        <f>D34*'1. Emisi-emisi LUC'!C$59</f>
        <v>0</v>
      </c>
      <c r="G34" s="225">
        <f t="shared" ref="G34:G45" si="2">E34*$F9/1000</f>
        <v>0</v>
      </c>
      <c r="H34" s="225">
        <f>E34*'Data default'!L40/1000</f>
        <v>0</v>
      </c>
      <c r="I34" s="225"/>
      <c r="J34" s="105"/>
      <c r="K34" s="63"/>
      <c r="L34" s="63"/>
    </row>
    <row r="35" spans="1:12" x14ac:dyDescent="0.25">
      <c r="A35" s="61" t="s">
        <v>2</v>
      </c>
      <c r="B35" s="95"/>
      <c r="C35" s="95"/>
      <c r="D35" s="226">
        <v>0</v>
      </c>
      <c r="E35" s="224">
        <f>D35*'1. Emisi-emisi LUC'!C$59</f>
        <v>0</v>
      </c>
      <c r="G35" s="225">
        <f t="shared" si="2"/>
        <v>0</v>
      </c>
      <c r="H35" s="225">
        <f>E35*'Data default'!L41/1000</f>
        <v>0</v>
      </c>
      <c r="I35" s="225"/>
      <c r="J35" s="105"/>
      <c r="K35" s="63"/>
      <c r="L35" s="63"/>
    </row>
    <row r="36" spans="1:12" x14ac:dyDescent="0.25">
      <c r="A36" s="61" t="s">
        <v>7</v>
      </c>
      <c r="B36" s="95"/>
      <c r="C36" s="95"/>
      <c r="D36" s="226">
        <v>0</v>
      </c>
      <c r="E36" s="224">
        <f>D36*'1. Emisi-emisi LUC'!C$59</f>
        <v>0</v>
      </c>
      <c r="G36" s="225">
        <f t="shared" si="2"/>
        <v>0</v>
      </c>
      <c r="H36" s="225">
        <f>E36*'Data default'!L42/1000</f>
        <v>0</v>
      </c>
      <c r="I36" s="225"/>
      <c r="J36" s="105"/>
      <c r="K36" s="63"/>
      <c r="L36" s="63"/>
    </row>
    <row r="37" spans="1:12" x14ac:dyDescent="0.25">
      <c r="A37" s="61" t="s">
        <v>3</v>
      </c>
      <c r="B37" s="95"/>
      <c r="C37" s="95"/>
      <c r="D37" s="226">
        <v>0</v>
      </c>
      <c r="E37" s="224">
        <f>D37*'1. Emisi-emisi LUC'!C$59</f>
        <v>0</v>
      </c>
      <c r="G37" s="225">
        <f t="shared" si="2"/>
        <v>0</v>
      </c>
      <c r="H37" s="225">
        <f>E37*'Data default'!L43/1000</f>
        <v>0</v>
      </c>
      <c r="I37" s="225">
        <f>'Data default'!B15*'6. Pupuk dan N2O'!E37*44/12</f>
        <v>0</v>
      </c>
      <c r="J37" s="105"/>
      <c r="K37" s="63"/>
      <c r="L37" s="63"/>
    </row>
    <row r="38" spans="1:12" x14ac:dyDescent="0.25">
      <c r="A38" s="61" t="s">
        <v>74</v>
      </c>
      <c r="B38" s="95"/>
      <c r="C38" s="95"/>
      <c r="D38" s="226">
        <v>0</v>
      </c>
      <c r="E38" s="224">
        <f>D38*'1. Emisi-emisi LUC'!C$59</f>
        <v>0</v>
      </c>
      <c r="G38" s="225">
        <f t="shared" si="2"/>
        <v>0</v>
      </c>
      <c r="H38" s="225">
        <f>E38*'Data default'!L44/1000</f>
        <v>0</v>
      </c>
      <c r="I38" s="225"/>
      <c r="J38" s="105"/>
      <c r="K38" s="63"/>
      <c r="L38" s="63"/>
    </row>
    <row r="39" spans="1:12" x14ac:dyDescent="0.25">
      <c r="A39" s="61" t="s">
        <v>31</v>
      </c>
      <c r="B39" s="95"/>
      <c r="C39" s="95"/>
      <c r="D39" s="226">
        <v>0</v>
      </c>
      <c r="E39" s="224">
        <f>D39*'1. Emisi-emisi LUC'!C$59</f>
        <v>0</v>
      </c>
      <c r="G39" s="225">
        <f t="shared" si="2"/>
        <v>0</v>
      </c>
      <c r="H39" s="225"/>
      <c r="I39" s="225"/>
      <c r="J39" s="105"/>
      <c r="K39" s="63"/>
      <c r="L39" s="63"/>
    </row>
    <row r="40" spans="1:12" x14ac:dyDescent="0.25">
      <c r="A40" s="61" t="s">
        <v>5</v>
      </c>
      <c r="B40" s="95"/>
      <c r="C40" s="95"/>
      <c r="D40" s="226">
        <v>0</v>
      </c>
      <c r="E40" s="224">
        <f>D40*'1. Emisi-emisi LUC'!C$59</f>
        <v>0</v>
      </c>
      <c r="G40" s="225">
        <f t="shared" si="2"/>
        <v>0</v>
      </c>
      <c r="H40" s="225"/>
      <c r="I40" s="225"/>
      <c r="J40" s="105"/>
      <c r="K40" s="63"/>
      <c r="L40" s="63"/>
    </row>
    <row r="41" spans="1:12" x14ac:dyDescent="0.25">
      <c r="A41" s="61" t="s">
        <v>4</v>
      </c>
      <c r="B41" s="95"/>
      <c r="C41" s="95"/>
      <c r="D41" s="226">
        <v>0.1</v>
      </c>
      <c r="E41" s="224">
        <f>D41*'1. Emisi-emisi LUC'!C$59</f>
        <v>0</v>
      </c>
      <c r="G41" s="225">
        <f t="shared" si="2"/>
        <v>0</v>
      </c>
      <c r="H41" s="225"/>
      <c r="I41" s="225"/>
      <c r="J41" s="105"/>
      <c r="K41" s="63"/>
      <c r="L41" s="63"/>
    </row>
    <row r="42" spans="1:12" x14ac:dyDescent="0.25">
      <c r="A42" s="61" t="s">
        <v>40</v>
      </c>
      <c r="B42" s="95"/>
      <c r="C42" s="95"/>
      <c r="D42" s="226">
        <v>0</v>
      </c>
      <c r="E42" s="224">
        <f>D42*'1. Emisi-emisi LUC'!C$59</f>
        <v>0</v>
      </c>
      <c r="G42" s="225">
        <f t="shared" si="2"/>
        <v>0</v>
      </c>
      <c r="H42" s="225"/>
      <c r="I42" s="225"/>
      <c r="J42" s="105"/>
      <c r="K42" s="63"/>
      <c r="L42" s="63"/>
    </row>
    <row r="43" spans="1:12" x14ac:dyDescent="0.25">
      <c r="A43" s="61" t="s">
        <v>41</v>
      </c>
      <c r="B43" s="95"/>
      <c r="C43" s="95"/>
      <c r="D43" s="226">
        <v>0</v>
      </c>
      <c r="E43" s="224">
        <f>D43*'1. Emisi-emisi LUC'!C$59</f>
        <v>0</v>
      </c>
      <c r="G43" s="225">
        <f t="shared" si="2"/>
        <v>0</v>
      </c>
      <c r="H43" s="225"/>
      <c r="I43" s="225"/>
      <c r="J43" s="105"/>
      <c r="K43" s="63"/>
      <c r="L43" s="63"/>
    </row>
    <row r="44" spans="1:12" x14ac:dyDescent="0.25">
      <c r="A44" s="208"/>
      <c r="B44" s="216"/>
      <c r="C44" s="216"/>
      <c r="D44" s="227">
        <v>0</v>
      </c>
      <c r="E44" s="224">
        <f>D44*'1. Emisi-emisi LUC'!C$59</f>
        <v>0</v>
      </c>
      <c r="G44" s="225">
        <f t="shared" si="2"/>
        <v>0</v>
      </c>
      <c r="H44" s="225">
        <f>E44*'Data default'!L50/1000</f>
        <v>0</v>
      </c>
      <c r="I44" s="245"/>
      <c r="J44" s="74"/>
    </row>
    <row r="45" spans="1:12" x14ac:dyDescent="0.25">
      <c r="A45" s="208"/>
      <c r="B45" s="216"/>
      <c r="C45" s="216"/>
      <c r="D45" s="227">
        <v>0</v>
      </c>
      <c r="E45" s="224">
        <f>D45*'1. Emisi-emisi LUC'!C$59</f>
        <v>0</v>
      </c>
      <c r="G45" s="225">
        <f t="shared" si="2"/>
        <v>0</v>
      </c>
      <c r="H45" s="225">
        <f>E45*'Data default'!L51/1000</f>
        <v>0</v>
      </c>
      <c r="I45" s="225"/>
      <c r="J45" s="74"/>
    </row>
    <row r="46" spans="1:12" x14ac:dyDescent="0.25">
      <c r="A46" s="208"/>
      <c r="B46" s="216"/>
      <c r="C46" s="216"/>
      <c r="D46" s="227">
        <v>0</v>
      </c>
      <c r="E46" s="224">
        <f>D46*'1. Emisi-emisi LUC'!C$59</f>
        <v>0</v>
      </c>
      <c r="G46" s="225">
        <f t="shared" ref="G46:G52" si="3">E46*$F22/1000</f>
        <v>0</v>
      </c>
      <c r="H46" s="225">
        <f>E46*'Data default'!L52/1000</f>
        <v>0</v>
      </c>
      <c r="I46" s="225"/>
      <c r="J46" s="74"/>
    </row>
    <row r="47" spans="1:12" x14ac:dyDescent="0.25">
      <c r="A47" s="208"/>
      <c r="B47" s="216"/>
      <c r="C47" s="216"/>
      <c r="D47" s="227">
        <v>0</v>
      </c>
      <c r="E47" s="224">
        <f>D47*'1. Emisi-emisi LUC'!C$59</f>
        <v>0</v>
      </c>
      <c r="G47" s="225">
        <f t="shared" si="3"/>
        <v>0</v>
      </c>
      <c r="H47" s="225">
        <f>E47*'Data default'!L53/1000</f>
        <v>0</v>
      </c>
      <c r="I47" s="225"/>
      <c r="J47" s="74"/>
    </row>
    <row r="48" spans="1:12" x14ac:dyDescent="0.25">
      <c r="A48" s="208" t="str">
        <f>A24</f>
        <v>Pilihan pengguna 6</v>
      </c>
      <c r="B48" s="216"/>
      <c r="C48" s="216"/>
      <c r="D48" s="227">
        <v>0</v>
      </c>
      <c r="E48" s="224">
        <f>D48*'1. Emisi-emisi LUC'!C$59</f>
        <v>0</v>
      </c>
      <c r="G48" s="225">
        <f t="shared" si="3"/>
        <v>0</v>
      </c>
      <c r="H48" s="225">
        <f>E48*'Data default'!L54/1000</f>
        <v>0</v>
      </c>
      <c r="I48" s="225"/>
      <c r="J48" s="74"/>
    </row>
    <row r="49" spans="1:15" x14ac:dyDescent="0.25">
      <c r="A49" s="208" t="str">
        <f>A25</f>
        <v>Pilihan pengguna 7</v>
      </c>
      <c r="B49" s="216"/>
      <c r="C49" s="216"/>
      <c r="D49" s="227">
        <v>0</v>
      </c>
      <c r="E49" s="224">
        <f>D49*'1. Emisi-emisi LUC'!C$59</f>
        <v>0</v>
      </c>
      <c r="G49" s="225">
        <f t="shared" si="3"/>
        <v>0</v>
      </c>
      <c r="H49" s="225">
        <f>E49*'Data default'!L55/1000</f>
        <v>0</v>
      </c>
      <c r="I49" s="225"/>
      <c r="J49" s="74"/>
    </row>
    <row r="50" spans="1:15" x14ac:dyDescent="0.25">
      <c r="A50" s="208" t="str">
        <f>A26</f>
        <v>Pilihan pengguna 8</v>
      </c>
      <c r="B50" s="216"/>
      <c r="C50" s="216"/>
      <c r="D50" s="227">
        <v>0</v>
      </c>
      <c r="E50" s="224">
        <f>D50*'1. Emisi-emisi LUC'!C$59</f>
        <v>0</v>
      </c>
      <c r="G50" s="225">
        <f t="shared" si="3"/>
        <v>0</v>
      </c>
      <c r="H50" s="225">
        <f>E50*'Data default'!L56/1000</f>
        <v>0</v>
      </c>
      <c r="I50" s="225"/>
      <c r="J50" s="74"/>
    </row>
    <row r="51" spans="1:15" x14ac:dyDescent="0.25">
      <c r="A51" s="208" t="str">
        <f>A27</f>
        <v>Pilihan pengguna 9</v>
      </c>
      <c r="B51" s="216"/>
      <c r="C51" s="216"/>
      <c r="D51" s="227">
        <v>0</v>
      </c>
      <c r="E51" s="224">
        <f>D51*'1. Emisi-emisi LUC'!C$59</f>
        <v>0</v>
      </c>
      <c r="G51" s="225">
        <f t="shared" si="3"/>
        <v>0</v>
      </c>
      <c r="H51" s="225">
        <f>E51*'Data default'!L57/1000</f>
        <v>0</v>
      </c>
      <c r="I51" s="225"/>
      <c r="J51" s="74"/>
    </row>
    <row r="52" spans="1:15" x14ac:dyDescent="0.25">
      <c r="A52" s="208" t="str">
        <f>A28</f>
        <v>Pilihan pengguna 10</v>
      </c>
      <c r="B52" s="216"/>
      <c r="C52" s="216"/>
      <c r="D52" s="227">
        <v>0</v>
      </c>
      <c r="E52" s="224">
        <f>D52*'1. Emisi-emisi LUC'!C$59</f>
        <v>0</v>
      </c>
      <c r="G52" s="225">
        <f t="shared" si="3"/>
        <v>0</v>
      </c>
      <c r="H52" s="225">
        <f>E52*'Data default'!L58/1000</f>
        <v>0</v>
      </c>
      <c r="I52" s="225"/>
      <c r="J52" s="74"/>
    </row>
    <row r="53" spans="1:15" ht="15.75" thickBot="1" x14ac:dyDescent="0.3">
      <c r="A53" s="42"/>
      <c r="B53" s="95"/>
      <c r="C53" s="95"/>
      <c r="D53" s="95"/>
      <c r="E53" s="94"/>
      <c r="F53" s="221" t="s">
        <v>1</v>
      </c>
      <c r="G53" s="222">
        <f>SUM(G34:G52)</f>
        <v>0</v>
      </c>
      <c r="H53" s="222">
        <f>SUM(H34:H52)</f>
        <v>0</v>
      </c>
      <c r="I53" s="223">
        <f>SUM(I34:I52)</f>
        <v>0</v>
      </c>
      <c r="J53" s="74"/>
    </row>
    <row r="54" spans="1:15" ht="15.75" thickTop="1" x14ac:dyDescent="0.25">
      <c r="A54" s="42"/>
      <c r="B54" s="43"/>
      <c r="C54" s="43"/>
      <c r="D54" s="43"/>
      <c r="E54" s="126"/>
      <c r="F54" s="90"/>
      <c r="G54" s="74"/>
      <c r="H54" s="74"/>
      <c r="I54" s="74"/>
      <c r="J54" s="74"/>
    </row>
    <row r="55" spans="1:15" x14ac:dyDescent="0.25">
      <c r="A55" s="87"/>
      <c r="B55" s="74"/>
      <c r="C55" s="74"/>
      <c r="D55" s="74"/>
      <c r="E55" s="74"/>
      <c r="F55" s="92"/>
      <c r="G55" s="91"/>
      <c r="H55" s="92"/>
      <c r="I55" s="91"/>
      <c r="J55" s="74"/>
      <c r="K55" s="74"/>
      <c r="L55" s="74"/>
      <c r="M55" s="74"/>
      <c r="N55" s="74"/>
      <c r="O55" s="74"/>
    </row>
    <row r="56" spans="1:15" x14ac:dyDescent="0.25">
      <c r="A56" s="111" t="s">
        <v>10</v>
      </c>
      <c r="B56" s="115"/>
      <c r="C56" s="115"/>
      <c r="D56" s="115"/>
      <c r="E56" s="115"/>
      <c r="F56" s="74"/>
      <c r="G56" s="74"/>
      <c r="H56" s="74"/>
      <c r="I56" s="74"/>
      <c r="J56" s="84"/>
      <c r="K56" s="74"/>
      <c r="L56" s="74"/>
      <c r="M56" s="74"/>
      <c r="N56" s="74"/>
      <c r="O56" s="74"/>
    </row>
    <row r="57" spans="1:15" x14ac:dyDescent="0.25">
      <c r="A57" s="87" t="s">
        <v>353</v>
      </c>
      <c r="B57" s="116"/>
      <c r="C57" s="116"/>
      <c r="D57" s="116"/>
      <c r="E57" s="116">
        <f>'9. Data Mill'!B33</f>
        <v>0</v>
      </c>
      <c r="F57" s="74"/>
      <c r="G57" s="74"/>
      <c r="H57" s="74"/>
      <c r="I57" s="74"/>
      <c r="J57" s="84"/>
      <c r="K57" s="74"/>
      <c r="L57" s="74"/>
      <c r="M57" s="74"/>
      <c r="N57" s="74"/>
      <c r="O57" s="74"/>
    </row>
    <row r="58" spans="1:15" x14ac:dyDescent="0.25">
      <c r="A58" s="117" t="s">
        <v>263</v>
      </c>
      <c r="B58" s="116"/>
      <c r="C58" s="116"/>
      <c r="D58" s="116"/>
      <c r="E58" s="116">
        <f>'1. Emisi-emisi LUC'!C59</f>
        <v>0</v>
      </c>
      <c r="F58" s="74"/>
      <c r="G58" s="74"/>
      <c r="H58" s="74"/>
      <c r="I58" s="74"/>
      <c r="J58" s="84"/>
      <c r="K58" s="74"/>
      <c r="L58" s="74"/>
      <c r="M58" s="74"/>
      <c r="N58" s="74"/>
      <c r="O58" s="74"/>
    </row>
    <row r="59" spans="1:15" x14ac:dyDescent="0.25">
      <c r="A59" s="117" t="s">
        <v>469</v>
      </c>
      <c r="B59" s="74"/>
      <c r="C59" s="74"/>
      <c r="D59" s="74"/>
      <c r="E59" s="105" t="e">
        <f>E57/E58</f>
        <v>#DIV/0!</v>
      </c>
      <c r="F59" s="74"/>
      <c r="G59" s="74"/>
      <c r="H59" s="74"/>
      <c r="I59" s="74"/>
      <c r="J59" s="84"/>
      <c r="K59" s="74"/>
      <c r="L59" s="74"/>
      <c r="M59" s="74"/>
      <c r="N59" s="74"/>
      <c r="O59" s="74"/>
    </row>
    <row r="60" spans="1:15" x14ac:dyDescent="0.25">
      <c r="A60" s="117" t="s">
        <v>355</v>
      </c>
      <c r="B60" s="74"/>
      <c r="C60" s="74"/>
      <c r="D60" s="74"/>
      <c r="E60" s="105" t="e">
        <f>E59*1000*'Data default'!B61/100</f>
        <v>#DIV/0!</v>
      </c>
      <c r="F60" s="74"/>
      <c r="G60" s="74"/>
      <c r="H60" s="74"/>
      <c r="I60" s="74"/>
      <c r="J60" s="84"/>
      <c r="K60" s="74"/>
      <c r="L60" s="74"/>
      <c r="M60" s="74"/>
      <c r="N60" s="74"/>
      <c r="O60" s="74"/>
    </row>
    <row r="61" spans="1:15" x14ac:dyDescent="0.25">
      <c r="A61" s="120" t="s">
        <v>356</v>
      </c>
      <c r="B61" s="74"/>
      <c r="C61" s="74"/>
      <c r="D61" s="74"/>
      <c r="E61" s="91" t="e">
        <f>E60*1.57*'Data default'!B10</f>
        <v>#DIV/0!</v>
      </c>
      <c r="F61" s="74"/>
      <c r="G61" s="74"/>
      <c r="H61" s="74"/>
      <c r="I61" s="74"/>
      <c r="J61" s="84"/>
      <c r="K61" s="74"/>
      <c r="L61" s="74"/>
      <c r="M61" s="74"/>
      <c r="N61" s="74"/>
      <c r="O61" s="74"/>
    </row>
    <row r="62" spans="1:15" x14ac:dyDescent="0.25">
      <c r="A62" s="120" t="s">
        <v>354</v>
      </c>
      <c r="B62" s="74"/>
      <c r="C62" s="74"/>
      <c r="D62" s="74"/>
      <c r="E62" s="91" t="e">
        <f>E60*(('Data default'!F61/100*'Data default'!B12)+('Data default'!B62/100*'Data default'!B11))*1.57</f>
        <v>#DIV/0!</v>
      </c>
      <c r="F62" s="74"/>
      <c r="G62" s="74"/>
      <c r="H62" s="74"/>
      <c r="I62" s="74"/>
      <c r="J62" s="84"/>
      <c r="K62" s="74"/>
      <c r="L62" s="74"/>
      <c r="M62" s="74"/>
      <c r="N62" s="74"/>
      <c r="O62" s="74"/>
    </row>
    <row r="63" spans="1:15" ht="18" x14ac:dyDescent="0.35">
      <c r="A63" s="220" t="s">
        <v>357</v>
      </c>
      <c r="B63" s="74"/>
      <c r="C63" s="74"/>
      <c r="D63" s="74"/>
      <c r="E63" s="91" t="e">
        <f>E61+E62</f>
        <v>#DIV/0!</v>
      </c>
      <c r="F63" s="74"/>
      <c r="G63" s="74"/>
      <c r="H63" s="74"/>
      <c r="I63" s="74"/>
      <c r="J63" s="84"/>
      <c r="K63" s="74"/>
      <c r="L63" s="74"/>
      <c r="M63" s="74"/>
      <c r="N63" s="74"/>
      <c r="O63" s="74"/>
    </row>
    <row r="64" spans="1:15" ht="18" x14ac:dyDescent="0.35">
      <c r="A64" s="220" t="s">
        <v>358</v>
      </c>
      <c r="B64" s="74"/>
      <c r="C64" s="74"/>
      <c r="D64" s="74"/>
      <c r="E64" s="91" t="e">
        <f>E63*'Data default'!B9/1000</f>
        <v>#DIV/0!</v>
      </c>
      <c r="F64" s="74"/>
      <c r="G64" s="74"/>
      <c r="H64" s="74"/>
      <c r="I64" s="74"/>
      <c r="J64" s="84"/>
      <c r="K64" s="74"/>
      <c r="L64" s="74"/>
      <c r="M64" s="74"/>
      <c r="N64" s="74"/>
      <c r="O64" s="74"/>
    </row>
    <row r="65" spans="1:10" x14ac:dyDescent="0.25">
      <c r="A65" s="74"/>
      <c r="B65" s="74"/>
      <c r="C65" s="74"/>
      <c r="D65" s="74"/>
      <c r="E65" s="74"/>
      <c r="F65" s="74"/>
      <c r="G65" s="74"/>
      <c r="H65" s="74"/>
      <c r="I65" s="81"/>
      <c r="J65" s="118"/>
    </row>
    <row r="66" spans="1:10" x14ac:dyDescent="0.25">
      <c r="A66" s="98" t="s">
        <v>8</v>
      </c>
      <c r="B66" s="74"/>
      <c r="C66" s="74"/>
      <c r="D66" s="74"/>
      <c r="E66" s="74"/>
      <c r="F66" s="74"/>
      <c r="G66" s="74"/>
      <c r="H66" s="74"/>
      <c r="I66" s="81"/>
      <c r="J66" s="119"/>
    </row>
    <row r="67" spans="1:10" x14ac:dyDescent="0.25">
      <c r="A67" s="117" t="s">
        <v>359</v>
      </c>
      <c r="B67" s="121"/>
      <c r="C67" s="121"/>
      <c r="D67" s="121"/>
      <c r="E67" s="287">
        <f>'9. Data Mill'!B74</f>
        <v>0</v>
      </c>
      <c r="F67" s="87"/>
      <c r="G67" s="74"/>
      <c r="H67" s="74"/>
      <c r="I67" s="81"/>
      <c r="J67" s="122"/>
    </row>
    <row r="68" spans="1:10" x14ac:dyDescent="0.25">
      <c r="A68" s="117" t="s">
        <v>360</v>
      </c>
      <c r="B68" s="140"/>
      <c r="C68" s="140"/>
      <c r="D68" s="140"/>
      <c r="E68" s="121">
        <f>'9. Data Mill'!B76</f>
        <v>0</v>
      </c>
      <c r="F68" s="74"/>
      <c r="G68" s="74"/>
      <c r="H68" s="74"/>
      <c r="I68" s="81"/>
      <c r="J68" s="122"/>
    </row>
    <row r="69" spans="1:10" x14ac:dyDescent="0.25">
      <c r="A69" s="117" t="s">
        <v>361</v>
      </c>
      <c r="B69" s="140"/>
      <c r="C69" s="140"/>
      <c r="D69" s="140"/>
      <c r="E69" s="121">
        <f>'9. Data Mill'!B77</f>
        <v>0</v>
      </c>
      <c r="F69" s="74"/>
      <c r="G69" s="74"/>
      <c r="H69" s="74"/>
      <c r="I69" s="81"/>
      <c r="J69" s="122"/>
    </row>
    <row r="70" spans="1:10" x14ac:dyDescent="0.25">
      <c r="A70" s="117" t="s">
        <v>362</v>
      </c>
      <c r="B70" s="123"/>
      <c r="C70" s="123"/>
      <c r="D70" s="123"/>
      <c r="E70" s="123">
        <f>'1. Emisi-emisi LUC'!C59</f>
        <v>0</v>
      </c>
      <c r="F70" s="74"/>
      <c r="G70" s="74"/>
      <c r="H70" s="74"/>
      <c r="I70" s="81"/>
      <c r="J70" s="110"/>
    </row>
    <row r="71" spans="1:10" x14ac:dyDescent="0.25">
      <c r="A71" s="117" t="s">
        <v>363</v>
      </c>
      <c r="B71" s="105"/>
      <c r="C71" s="105"/>
      <c r="D71" s="105"/>
      <c r="E71" s="105" t="e">
        <f>E67*E68/100/E70</f>
        <v>#DIV/0!</v>
      </c>
      <c r="F71" s="274"/>
      <c r="G71" s="74"/>
      <c r="H71" s="74"/>
      <c r="I71" s="81"/>
      <c r="J71" s="124"/>
    </row>
    <row r="72" spans="1:10" x14ac:dyDescent="0.25">
      <c r="A72" s="117" t="s">
        <v>364</v>
      </c>
      <c r="B72" s="105"/>
      <c r="C72" s="105"/>
      <c r="D72" s="105"/>
      <c r="E72" s="105" t="e">
        <f>E71*1000*'Data default'!B60/100</f>
        <v>#DIV/0!</v>
      </c>
      <c r="F72" s="74"/>
      <c r="G72" s="74"/>
      <c r="H72" s="74"/>
      <c r="I72" s="81"/>
      <c r="J72" s="124"/>
    </row>
    <row r="73" spans="1:10" x14ac:dyDescent="0.25">
      <c r="A73" s="120" t="s">
        <v>356</v>
      </c>
      <c r="B73" s="91"/>
      <c r="C73" s="91"/>
      <c r="D73" s="91"/>
      <c r="E73" s="91" t="e">
        <f>E72*1.57*'Data default'!B10</f>
        <v>#DIV/0!</v>
      </c>
      <c r="F73" s="91"/>
      <c r="G73" s="74"/>
      <c r="H73" s="74"/>
      <c r="I73" s="90"/>
      <c r="J73" s="112"/>
    </row>
    <row r="74" spans="1:10" x14ac:dyDescent="0.25">
      <c r="A74" s="120" t="s">
        <v>354</v>
      </c>
      <c r="B74" s="91"/>
      <c r="C74" s="91"/>
      <c r="D74" s="91"/>
      <c r="E74" s="91" t="e">
        <f>E72*(('Data default'!F60/100*'Data default'!B12)+('Data default'!B62/100*'Data default'!B11))*1.57</f>
        <v>#DIV/0!</v>
      </c>
      <c r="F74" s="91"/>
      <c r="G74" s="74"/>
      <c r="H74" s="74"/>
      <c r="I74" s="90"/>
      <c r="J74" s="112"/>
    </row>
    <row r="75" spans="1:10" ht="18" x14ac:dyDescent="0.35">
      <c r="A75" s="220" t="s">
        <v>365</v>
      </c>
      <c r="B75" s="91"/>
      <c r="C75" s="91"/>
      <c r="D75" s="91"/>
      <c r="E75" s="91" t="e">
        <f>E74+E73</f>
        <v>#DIV/0!</v>
      </c>
      <c r="F75" s="74"/>
      <c r="G75" s="74"/>
      <c r="H75" s="74"/>
      <c r="I75" s="84"/>
      <c r="J75" s="112"/>
    </row>
    <row r="76" spans="1:10" ht="18" x14ac:dyDescent="0.35">
      <c r="A76" s="220" t="s">
        <v>366</v>
      </c>
      <c r="B76" s="91"/>
      <c r="C76" s="91"/>
      <c r="D76" s="91"/>
      <c r="E76" s="91" t="e">
        <f>E75*'Data default'!B9/1000</f>
        <v>#DIV/0!</v>
      </c>
      <c r="F76" s="74"/>
      <c r="G76" s="74"/>
      <c r="H76" s="74"/>
      <c r="I76" s="84"/>
      <c r="J76" s="112"/>
    </row>
    <row r="77" spans="1:10" x14ac:dyDescent="0.25">
      <c r="A77" s="117" t="s">
        <v>367</v>
      </c>
      <c r="B77" s="140"/>
      <c r="C77" s="140"/>
      <c r="D77" s="140"/>
      <c r="E77" s="227"/>
      <c r="F77" s="74"/>
      <c r="G77" s="74"/>
      <c r="H77" s="74"/>
      <c r="I77" s="84"/>
      <c r="J77" s="112"/>
    </row>
    <row r="78" spans="1:10" x14ac:dyDescent="0.25">
      <c r="A78" s="117" t="s">
        <v>368</v>
      </c>
      <c r="B78" s="138"/>
      <c r="C78" s="138"/>
      <c r="D78" s="138"/>
      <c r="E78" s="91">
        <f>E77*'1. Emisi-emisi LUC'!C59</f>
        <v>0</v>
      </c>
      <c r="F78" s="74"/>
      <c r="H78" s="74"/>
      <c r="I78" s="84"/>
      <c r="J78" s="112"/>
    </row>
    <row r="79" spans="1:10" x14ac:dyDescent="0.25">
      <c r="A79" s="117" t="s">
        <v>369</v>
      </c>
      <c r="B79" s="140"/>
      <c r="C79" s="140"/>
      <c r="D79" s="140"/>
      <c r="E79" s="227"/>
      <c r="F79" s="74"/>
      <c r="G79" s="74"/>
      <c r="H79" s="74"/>
      <c r="I79" s="84"/>
      <c r="J79" s="112"/>
    </row>
    <row r="80" spans="1:10" x14ac:dyDescent="0.25">
      <c r="A80" s="117" t="s">
        <v>370</v>
      </c>
      <c r="B80" s="91"/>
      <c r="C80" s="91"/>
      <c r="D80" s="91"/>
      <c r="E80" s="91">
        <f>E77*E79/100*1000</f>
        <v>0</v>
      </c>
      <c r="F80" s="74"/>
      <c r="G80" s="74"/>
      <c r="H80" s="74"/>
      <c r="I80" s="84"/>
      <c r="J80" s="112"/>
    </row>
    <row r="81" spans="1:18" x14ac:dyDescent="0.25">
      <c r="A81" s="120" t="s">
        <v>356</v>
      </c>
      <c r="B81" s="91"/>
      <c r="C81" s="91"/>
      <c r="D81" s="91"/>
      <c r="E81" s="91">
        <f>E80*1.57*'Data default'!B10</f>
        <v>0</v>
      </c>
      <c r="F81" s="74"/>
      <c r="G81" s="74"/>
      <c r="H81" s="74"/>
      <c r="I81" s="84"/>
      <c r="J81" s="112"/>
    </row>
    <row r="82" spans="1:18" x14ac:dyDescent="0.25">
      <c r="A82" s="120" t="s">
        <v>354</v>
      </c>
      <c r="B82" s="91"/>
      <c r="C82" s="91"/>
      <c r="D82" s="91"/>
      <c r="E82" s="91">
        <f>E80*(('Data default'!F60/100*'Data default'!B12)+('Data default'!B62/100*'Data default'!B11))*1.57</f>
        <v>0</v>
      </c>
      <c r="F82" s="74"/>
      <c r="G82" s="74"/>
      <c r="H82" s="74"/>
      <c r="I82" s="84"/>
      <c r="J82" s="112"/>
    </row>
    <row r="83" spans="1:18" ht="18" x14ac:dyDescent="0.35">
      <c r="A83" s="220" t="s">
        <v>371</v>
      </c>
      <c r="B83" s="91"/>
      <c r="C83" s="91"/>
      <c r="D83" s="91"/>
      <c r="E83" s="91">
        <f>E82+E81</f>
        <v>0</v>
      </c>
      <c r="F83" s="74"/>
      <c r="G83" s="74"/>
      <c r="H83" s="74"/>
      <c r="I83" s="84"/>
      <c r="J83" s="112"/>
    </row>
    <row r="84" spans="1:18" ht="18" x14ac:dyDescent="0.35">
      <c r="A84" s="220" t="s">
        <v>372</v>
      </c>
      <c r="B84" s="91"/>
      <c r="C84" s="91"/>
      <c r="D84" s="91"/>
      <c r="E84" s="91">
        <f>E83*'Data default'!B9/1000</f>
        <v>0</v>
      </c>
      <c r="F84" s="74"/>
      <c r="G84" s="74"/>
      <c r="H84" s="74"/>
      <c r="I84" s="84"/>
      <c r="J84" s="112"/>
    </row>
    <row r="85" spans="1:18" ht="33.75" customHeight="1" x14ac:dyDescent="0.25">
      <c r="A85" s="412" t="s">
        <v>373</v>
      </c>
      <c r="B85" s="91"/>
      <c r="C85" s="91"/>
      <c r="D85" s="91"/>
      <c r="E85" s="91" t="e">
        <f>E76+E84</f>
        <v>#DIV/0!</v>
      </c>
      <c r="F85" s="74"/>
      <c r="G85" s="74"/>
      <c r="H85" s="74"/>
      <c r="I85" s="84"/>
      <c r="J85" s="112"/>
    </row>
    <row r="86" spans="1:18" x14ac:dyDescent="0.25">
      <c r="A86" s="74"/>
      <c r="B86" s="74"/>
      <c r="C86" s="74"/>
      <c r="D86" s="74"/>
      <c r="E86" s="74"/>
      <c r="F86" s="74"/>
      <c r="G86" s="74"/>
      <c r="H86" s="74"/>
      <c r="I86" s="74"/>
      <c r="J86" s="74"/>
    </row>
    <row r="87" spans="1:18" ht="18" x14ac:dyDescent="0.35">
      <c r="A87" s="98" t="s">
        <v>374</v>
      </c>
      <c r="B87" s="74"/>
      <c r="C87" s="74"/>
      <c r="D87" s="74"/>
      <c r="E87" s="74"/>
      <c r="F87" s="74"/>
      <c r="G87" s="74"/>
      <c r="H87" s="74"/>
      <c r="I87" s="74"/>
      <c r="J87" s="74"/>
    </row>
    <row r="88" spans="1:18" x14ac:dyDescent="0.25">
      <c r="A88" s="413" t="s">
        <v>375</v>
      </c>
      <c r="B88" s="104"/>
      <c r="C88" s="104"/>
      <c r="D88" s="104"/>
      <c r="E88" s="104">
        <f>H53</f>
        <v>0</v>
      </c>
      <c r="F88" s="112"/>
      <c r="G88" s="112"/>
      <c r="H88" s="112"/>
      <c r="I88" s="112"/>
      <c r="J88" s="112"/>
      <c r="K88" s="83"/>
      <c r="L88" s="83"/>
      <c r="M88" s="83"/>
      <c r="N88" s="83"/>
      <c r="O88" s="83"/>
      <c r="P88" s="83"/>
      <c r="Q88" s="83"/>
      <c r="R88" s="83"/>
    </row>
    <row r="89" spans="1:18" x14ac:dyDescent="0.25">
      <c r="A89" s="413" t="s">
        <v>376</v>
      </c>
      <c r="B89" s="104"/>
      <c r="C89" s="104"/>
      <c r="D89" s="104"/>
      <c r="E89" s="91" t="e">
        <f>E85*'1. Emisi-emisi LUC'!C59</f>
        <v>#DIV/0!</v>
      </c>
      <c r="F89" s="112"/>
      <c r="G89" s="112"/>
      <c r="H89" s="112"/>
      <c r="I89" s="112"/>
      <c r="J89" s="112"/>
      <c r="K89" s="83"/>
      <c r="L89" s="83"/>
      <c r="M89" s="83"/>
      <c r="N89" s="83"/>
      <c r="O89" s="83"/>
      <c r="P89" s="83"/>
      <c r="Q89" s="83"/>
      <c r="R89" s="83"/>
    </row>
    <row r="90" spans="1:18" x14ac:dyDescent="0.25">
      <c r="A90" s="413" t="s">
        <v>377</v>
      </c>
      <c r="B90" s="91"/>
      <c r="C90" s="91"/>
      <c r="D90" s="91"/>
      <c r="E90" s="185" t="e">
        <f>E64*'1. Emisi-emisi LUC'!C59</f>
        <v>#DIV/0!</v>
      </c>
      <c r="F90" s="112"/>
      <c r="G90" s="112"/>
      <c r="H90" s="112"/>
      <c r="I90" s="112"/>
      <c r="J90" s="112"/>
      <c r="K90" s="83"/>
      <c r="L90" s="83"/>
      <c r="M90" s="83"/>
      <c r="N90" s="83"/>
      <c r="O90" s="83"/>
      <c r="P90" s="83"/>
      <c r="Q90" s="83"/>
      <c r="R90" s="83"/>
    </row>
    <row r="91" spans="1:18" x14ac:dyDescent="0.25">
      <c r="A91" s="413" t="s">
        <v>378</v>
      </c>
      <c r="B91" s="104"/>
      <c r="C91" s="104"/>
      <c r="D91" s="104"/>
      <c r="E91" s="91" t="e">
        <f>SUM(E88:E90)</f>
        <v>#DIV/0!</v>
      </c>
      <c r="F91" s="112"/>
      <c r="G91" s="112"/>
      <c r="H91" s="112"/>
      <c r="I91" s="112"/>
      <c r="J91" s="112"/>
      <c r="K91" s="83"/>
      <c r="L91" s="83"/>
      <c r="M91" s="83"/>
      <c r="N91" s="83"/>
      <c r="O91" s="83"/>
      <c r="P91" s="83"/>
      <c r="Q91" s="83"/>
      <c r="R91" s="83"/>
    </row>
    <row r="92" spans="1:18" x14ac:dyDescent="0.25">
      <c r="A92" s="220" t="s">
        <v>379</v>
      </c>
      <c r="B92" s="91"/>
      <c r="C92" s="91"/>
      <c r="D92" s="91"/>
      <c r="E92" s="91">
        <f>'1. Emisi-emisi LUC'!B56*'Data default'!B13*1.57*'Data default'!B9/1000</f>
        <v>0</v>
      </c>
      <c r="F92" s="112"/>
      <c r="G92" s="112"/>
      <c r="H92" s="112"/>
      <c r="I92" s="112"/>
      <c r="J92" s="112"/>
      <c r="K92" s="83"/>
      <c r="L92" s="83"/>
      <c r="M92" s="83"/>
      <c r="N92" s="83"/>
      <c r="O92" s="83"/>
      <c r="P92" s="83"/>
      <c r="Q92" s="83"/>
      <c r="R92" s="83"/>
    </row>
    <row r="93" spans="1:18" x14ac:dyDescent="0.25">
      <c r="A93" s="413" t="s">
        <v>352</v>
      </c>
      <c r="B93" s="104"/>
      <c r="C93" s="104"/>
      <c r="D93" s="104"/>
      <c r="E93" s="92">
        <f>('1. Emisi-emisi LUC'!C59)+E92</f>
        <v>0</v>
      </c>
      <c r="F93" s="112"/>
      <c r="G93" s="112"/>
      <c r="H93" s="112"/>
      <c r="I93" s="112"/>
      <c r="J93" s="112"/>
      <c r="K93" s="83"/>
      <c r="L93" s="83"/>
      <c r="M93" s="83"/>
      <c r="N93" s="83"/>
      <c r="O93" s="83"/>
      <c r="P93" s="83"/>
      <c r="Q93" s="83"/>
      <c r="R93" s="83"/>
    </row>
    <row r="94" spans="1:18" x14ac:dyDescent="0.25">
      <c r="A94" s="113"/>
      <c r="B94" s="112"/>
      <c r="C94" s="112"/>
      <c r="D94" s="112"/>
      <c r="E94" s="112"/>
      <c r="F94" s="112"/>
      <c r="G94" s="112"/>
      <c r="H94" s="112"/>
      <c r="I94" s="112"/>
      <c r="J94" s="112"/>
      <c r="K94" s="83"/>
      <c r="L94" s="83"/>
      <c r="M94" s="83"/>
      <c r="N94" s="83"/>
      <c r="O94" s="83"/>
      <c r="P94" s="83"/>
      <c r="Q94" s="83"/>
      <c r="R94" s="83"/>
    </row>
    <row r="95" spans="1:18" hidden="1" x14ac:dyDescent="0.25">
      <c r="A95" s="166" t="s">
        <v>32</v>
      </c>
      <c r="B95" s="157"/>
      <c r="C95" s="157"/>
      <c r="D95" s="157"/>
      <c r="E95" s="157" t="e">
        <f>#REF!</f>
        <v>#REF!</v>
      </c>
      <c r="F95" s="112"/>
      <c r="G95" s="112"/>
      <c r="H95" s="112"/>
      <c r="I95" s="112"/>
      <c r="J95" s="112"/>
      <c r="K95" s="83"/>
      <c r="L95" s="83"/>
      <c r="M95" s="83"/>
      <c r="N95" s="83"/>
      <c r="O95" s="83"/>
      <c r="P95" s="83"/>
      <c r="Q95" s="83"/>
      <c r="R95" s="83"/>
    </row>
    <row r="96" spans="1:18" ht="18" hidden="1" x14ac:dyDescent="0.35">
      <c r="A96" s="159" t="s">
        <v>46</v>
      </c>
      <c r="B96" s="147"/>
      <c r="C96" s="147"/>
      <c r="D96" s="147"/>
      <c r="E96" s="167" t="e">
        <f>#REF!</f>
        <v>#REF!</v>
      </c>
      <c r="F96" s="112"/>
      <c r="G96" s="112"/>
      <c r="H96" s="112"/>
      <c r="I96" s="112"/>
      <c r="J96" s="112"/>
      <c r="K96" s="83"/>
      <c r="L96" s="83"/>
      <c r="M96" s="83"/>
      <c r="N96" s="83"/>
      <c r="O96" s="83"/>
      <c r="P96" s="83"/>
      <c r="Q96" s="83"/>
      <c r="R96" s="83"/>
    </row>
    <row r="97" spans="1:18" ht="18" hidden="1" x14ac:dyDescent="0.35">
      <c r="A97" s="159" t="s">
        <v>47</v>
      </c>
      <c r="B97" s="168"/>
      <c r="C97" s="168"/>
      <c r="D97" s="168"/>
      <c r="E97" s="168">
        <v>0</v>
      </c>
      <c r="F97" s="112"/>
      <c r="G97" s="112"/>
      <c r="H97" s="112"/>
      <c r="I97" s="112"/>
      <c r="J97" s="112"/>
      <c r="K97" s="83"/>
      <c r="L97" s="83"/>
      <c r="M97" s="83"/>
      <c r="N97" s="83"/>
      <c r="O97" s="83"/>
      <c r="P97" s="83"/>
      <c r="Q97" s="83"/>
      <c r="R97" s="83"/>
    </row>
    <row r="98" spans="1:18" ht="18" hidden="1" x14ac:dyDescent="0.35">
      <c r="A98" s="159" t="s">
        <v>48</v>
      </c>
      <c r="B98" s="168"/>
      <c r="C98" s="168"/>
      <c r="D98" s="168"/>
      <c r="E98" s="168">
        <v>0</v>
      </c>
      <c r="F98" s="112"/>
      <c r="G98" s="112"/>
      <c r="H98" s="112"/>
      <c r="I98" s="112"/>
      <c r="J98" s="112"/>
      <c r="K98" s="83"/>
      <c r="L98" s="83"/>
      <c r="M98" s="83"/>
      <c r="N98" s="83"/>
      <c r="O98" s="83"/>
      <c r="P98" s="83"/>
      <c r="Q98" s="83"/>
      <c r="R98" s="83"/>
    </row>
    <row r="99" spans="1:18" ht="18" hidden="1" x14ac:dyDescent="0.35">
      <c r="A99" s="159" t="s">
        <v>49</v>
      </c>
      <c r="B99" s="147"/>
      <c r="C99" s="147"/>
      <c r="D99" s="147"/>
      <c r="E99" s="147" t="e">
        <f>SUM(E96:E98)</f>
        <v>#REF!</v>
      </c>
      <c r="F99" s="112"/>
      <c r="G99" s="112"/>
      <c r="H99" s="112"/>
      <c r="I99" s="112"/>
      <c r="J99" s="112"/>
      <c r="K99" s="83"/>
      <c r="L99" s="83"/>
      <c r="M99" s="83"/>
      <c r="N99" s="83"/>
      <c r="O99" s="83"/>
      <c r="P99" s="83"/>
      <c r="Q99" s="83"/>
      <c r="R99" s="83"/>
    </row>
    <row r="100" spans="1:18" hidden="1" x14ac:dyDescent="0.25">
      <c r="A100" s="159" t="s">
        <v>351</v>
      </c>
      <c r="B100" s="160"/>
      <c r="C100" s="160"/>
      <c r="D100" s="160"/>
      <c r="E100" s="163" t="e">
        <f>E99*#REF!</f>
        <v>#REF!</v>
      </c>
      <c r="F100" s="83"/>
      <c r="G100" s="83"/>
      <c r="H100" s="83"/>
      <c r="I100" s="83"/>
      <c r="J100" s="83"/>
      <c r="K100" s="83"/>
      <c r="L100" s="83"/>
      <c r="M100" s="83"/>
      <c r="N100" s="83"/>
      <c r="O100" s="83"/>
      <c r="P100" s="83"/>
      <c r="Q100" s="83"/>
      <c r="R100" s="83"/>
    </row>
    <row r="101" spans="1:18" x14ac:dyDescent="0.25">
      <c r="A101" s="476" t="s">
        <v>480</v>
      </c>
      <c r="B101" s="83"/>
    </row>
    <row r="102" spans="1:18" x14ac:dyDescent="0.25">
      <c r="B102" s="83"/>
    </row>
    <row r="103" spans="1:18" x14ac:dyDescent="0.25">
      <c r="B103" s="83"/>
    </row>
    <row r="104" spans="1:18" x14ac:dyDescent="0.25">
      <c r="B104" s="83"/>
    </row>
  </sheetData>
  <sheetProtection formatCells="0" formatColumns="0" formatRows="0" insertColumns="0" insertRows="0"/>
  <customSheetViews>
    <customSheetView guid="{E65377FD-65C5-4E48-ADBC-1C49981F2400}" topLeftCell="A19">
      <selection activeCell="C306" sqref="C306"/>
      <pageMargins left="0.7" right="0.7" top="0.75" bottom="0.75" header="0.3" footer="0.3"/>
      <pageSetup orientation="portrait" r:id="rId1"/>
    </customSheetView>
  </customSheetViews>
  <mergeCells count="4">
    <mergeCell ref="B7:C7"/>
    <mergeCell ref="A3:J3"/>
    <mergeCell ref="G31:G32"/>
    <mergeCell ref="H31:I31"/>
  </mergeCells>
  <pageMargins left="0.7" right="0.7" top="0.75" bottom="0.75" header="0.3" footer="0.3"/>
  <pageSetup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10"/>
  <sheetViews>
    <sheetView showGridLines="0" topLeftCell="A4" workbookViewId="0">
      <selection activeCell="A10" sqref="A10"/>
    </sheetView>
  </sheetViews>
  <sheetFormatPr defaultColWidth="9.140625" defaultRowHeight="15" x14ac:dyDescent="0.25"/>
  <cols>
    <col min="1" max="1" width="9.140625" style="65"/>
    <col min="2" max="2" width="16.85546875" style="65" customWidth="1"/>
    <col min="3" max="3" width="13.28515625" style="65" customWidth="1"/>
    <col min="4" max="4" width="18" style="65" customWidth="1"/>
    <col min="5" max="5" width="16.42578125" style="65" customWidth="1"/>
    <col min="6" max="11" width="18.42578125" style="65" customWidth="1"/>
    <col min="12" max="16384" width="9.140625" style="65"/>
  </cols>
  <sheetData>
    <row r="1" spans="1:11" x14ac:dyDescent="0.25">
      <c r="A1" s="75" t="s">
        <v>382</v>
      </c>
    </row>
    <row r="2" spans="1:11" ht="12.75" customHeight="1" x14ac:dyDescent="0.25"/>
    <row r="3" spans="1:11" ht="91.5" customHeight="1" x14ac:dyDescent="0.25">
      <c r="A3" s="446" t="s">
        <v>470</v>
      </c>
      <c r="B3" s="447"/>
      <c r="C3" s="447"/>
      <c r="D3" s="447"/>
      <c r="E3" s="447"/>
      <c r="F3" s="447"/>
      <c r="G3" s="447"/>
      <c r="H3" s="448"/>
      <c r="I3" s="448"/>
      <c r="J3" s="448"/>
      <c r="K3" s="449"/>
    </row>
    <row r="4" spans="1:11" ht="15.75" thickBot="1" x14ac:dyDescent="0.3"/>
    <row r="5" spans="1:11" ht="41.25" customHeight="1" thickTop="1" x14ac:dyDescent="0.25">
      <c r="A5" s="445" t="s">
        <v>383</v>
      </c>
      <c r="B5" s="445"/>
      <c r="C5" s="388"/>
      <c r="F5" s="450" t="s">
        <v>472</v>
      </c>
      <c r="G5" s="451"/>
      <c r="H5" s="451"/>
      <c r="I5" s="451"/>
      <c r="J5" s="451"/>
      <c r="K5" s="452"/>
    </row>
    <row r="6" spans="1:11" ht="42" customHeight="1" x14ac:dyDescent="0.25">
      <c r="A6" s="445" t="s">
        <v>471</v>
      </c>
      <c r="B6" s="445"/>
      <c r="C6" s="388"/>
      <c r="F6" s="453"/>
      <c r="G6" s="454"/>
      <c r="H6" s="454"/>
      <c r="I6" s="454"/>
      <c r="J6" s="454"/>
      <c r="K6" s="455"/>
    </row>
    <row r="7" spans="1:11" ht="72" customHeight="1" x14ac:dyDescent="0.25">
      <c r="A7" s="445" t="s">
        <v>385</v>
      </c>
      <c r="B7" s="445"/>
      <c r="C7" s="103" t="e">
        <f>C5*C6/'1. Emisi-emisi LUC'!C59</f>
        <v>#DIV/0!</v>
      </c>
      <c r="F7" s="453"/>
      <c r="G7" s="454"/>
      <c r="H7" s="454"/>
      <c r="I7" s="454"/>
      <c r="J7" s="454"/>
      <c r="K7" s="455"/>
    </row>
    <row r="8" spans="1:11" ht="80.25" customHeight="1" thickBot="1" x14ac:dyDescent="0.3">
      <c r="A8" s="445" t="s">
        <v>384</v>
      </c>
      <c r="B8" s="445"/>
      <c r="C8" s="103">
        <f>C5*C6</f>
        <v>0</v>
      </c>
      <c r="F8" s="456"/>
      <c r="G8" s="457"/>
      <c r="H8" s="457"/>
      <c r="I8" s="457"/>
      <c r="J8" s="457"/>
      <c r="K8" s="458"/>
    </row>
    <row r="9" spans="1:11" ht="15.75" thickTop="1" x14ac:dyDescent="0.25"/>
    <row r="10" spans="1:11" x14ac:dyDescent="0.25">
      <c r="A10" s="476" t="s">
        <v>480</v>
      </c>
    </row>
  </sheetData>
  <sheetProtection formatCells="0" formatColumns="0" formatRows="0" insertColumns="0" insertRows="0"/>
  <customSheetViews>
    <customSheetView guid="{E65377FD-65C5-4E48-ADBC-1C49981F2400}">
      <selection activeCell="M5" sqref="M5"/>
      <pageMargins left="0.7" right="0.7" top="0.75" bottom="0.75" header="0.3" footer="0.3"/>
      <pageSetup paperSize="9" orientation="portrait" r:id="rId1"/>
    </customSheetView>
  </customSheetViews>
  <mergeCells count="6">
    <mergeCell ref="A5:B5"/>
    <mergeCell ref="A6:B6"/>
    <mergeCell ref="A7:B7"/>
    <mergeCell ref="A8:B8"/>
    <mergeCell ref="A3:K3"/>
    <mergeCell ref="F5:K8"/>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Q34"/>
  <sheetViews>
    <sheetView showGridLines="0" topLeftCell="G22" workbookViewId="0">
      <selection activeCell="G34" sqref="G34"/>
    </sheetView>
  </sheetViews>
  <sheetFormatPr defaultRowHeight="15" x14ac:dyDescent="0.25"/>
  <cols>
    <col min="1" max="1" width="11.42578125" customWidth="1"/>
    <col min="2" max="5" width="9.85546875" customWidth="1"/>
    <col min="6" max="6" width="10.7109375" customWidth="1"/>
    <col min="7" max="7" width="16.42578125" customWidth="1"/>
    <col min="8" max="8" width="13.140625" customWidth="1"/>
    <col min="9" max="9" width="4.42578125" customWidth="1"/>
    <col min="10" max="10" width="11.7109375" customWidth="1"/>
    <col min="11" max="14" width="9.85546875" customWidth="1"/>
    <col min="15" max="15" width="10.7109375" customWidth="1"/>
    <col min="16" max="16" width="16.42578125" customWidth="1"/>
    <col min="17" max="17" width="13.140625" customWidth="1"/>
  </cols>
  <sheetData>
    <row r="2" spans="1:17" ht="59.25" customHeight="1" x14ac:dyDescent="0.25">
      <c r="A2" s="459" t="s">
        <v>473</v>
      </c>
      <c r="B2" s="426"/>
      <c r="C2" s="426"/>
      <c r="D2" s="426"/>
      <c r="E2" s="426"/>
      <c r="F2" s="426"/>
      <c r="G2" s="426"/>
      <c r="H2" s="426"/>
      <c r="I2" s="426"/>
      <c r="J2" s="426"/>
      <c r="K2" s="426"/>
      <c r="L2" s="426"/>
      <c r="M2" s="426"/>
      <c r="N2" s="426"/>
      <c r="O2" s="426"/>
      <c r="P2" s="426"/>
      <c r="Q2" s="426"/>
    </row>
    <row r="4" spans="1:17" x14ac:dyDescent="0.25">
      <c r="A4" s="414" t="s">
        <v>474</v>
      </c>
      <c r="I4" s="357"/>
      <c r="J4" s="414" t="s">
        <v>475</v>
      </c>
    </row>
    <row r="5" spans="1:17" ht="45" x14ac:dyDescent="0.25">
      <c r="A5" s="187"/>
      <c r="B5" s="358" t="s">
        <v>386</v>
      </c>
      <c r="C5" s="358" t="s">
        <v>389</v>
      </c>
      <c r="D5" s="358" t="s">
        <v>392</v>
      </c>
      <c r="E5" s="358" t="s">
        <v>391</v>
      </c>
      <c r="F5" s="358" t="s">
        <v>390</v>
      </c>
      <c r="G5" s="359" t="s">
        <v>393</v>
      </c>
      <c r="H5" s="359" t="s">
        <v>388</v>
      </c>
      <c r="I5" s="357"/>
      <c r="J5" s="187"/>
      <c r="K5" s="358" t="s">
        <v>386</v>
      </c>
      <c r="L5" s="358" t="s">
        <v>389</v>
      </c>
      <c r="M5" s="358" t="s">
        <v>392</v>
      </c>
      <c r="N5" s="358" t="s">
        <v>391</v>
      </c>
      <c r="O5" s="358" t="s">
        <v>390</v>
      </c>
      <c r="P5" s="359" t="s">
        <v>393</v>
      </c>
      <c r="Q5" s="359" t="s">
        <v>388</v>
      </c>
    </row>
    <row r="6" spans="1:17" ht="30" x14ac:dyDescent="0.25">
      <c r="A6" s="358" t="s">
        <v>387</v>
      </c>
      <c r="B6" s="187"/>
      <c r="C6" s="187"/>
      <c r="D6" s="187"/>
      <c r="E6" s="187"/>
      <c r="F6" s="187"/>
      <c r="G6" s="187"/>
      <c r="H6" s="187"/>
      <c r="I6" s="357"/>
      <c r="J6" s="358" t="s">
        <v>387</v>
      </c>
      <c r="K6" s="187"/>
      <c r="L6" s="187"/>
      <c r="M6" s="187"/>
      <c r="N6" s="187"/>
      <c r="O6" s="187"/>
      <c r="P6" s="187"/>
      <c r="Q6" s="187"/>
    </row>
    <row r="7" spans="1:17" x14ac:dyDescent="0.25">
      <c r="A7" s="360">
        <v>1</v>
      </c>
      <c r="B7" s="361">
        <v>4.8344399999999998</v>
      </c>
      <c r="C7" s="361">
        <v>11.12</v>
      </c>
      <c r="D7" s="361">
        <v>0</v>
      </c>
      <c r="E7" s="361">
        <v>0</v>
      </c>
      <c r="F7" s="361">
        <v>15.95</v>
      </c>
      <c r="G7" s="362">
        <f>F31/25</f>
        <v>5.1063999999999998</v>
      </c>
      <c r="H7" s="362">
        <f>G7*0.5*44/12</f>
        <v>9.3617333333333335</v>
      </c>
      <c r="I7" s="357"/>
      <c r="J7" s="360">
        <v>1</v>
      </c>
      <c r="K7" s="361">
        <v>4.46</v>
      </c>
      <c r="L7" s="361">
        <v>10.57</v>
      </c>
      <c r="M7" s="361">
        <v>0</v>
      </c>
      <c r="N7" s="361">
        <v>0</v>
      </c>
      <c r="O7" s="361">
        <v>15.03</v>
      </c>
      <c r="P7" s="362">
        <f>O31/25</f>
        <v>4.7427999999999999</v>
      </c>
      <c r="Q7" s="362">
        <f>P7*0.5*44/12</f>
        <v>8.6951333333333327</v>
      </c>
    </row>
    <row r="8" spans="1:17" x14ac:dyDescent="0.25">
      <c r="A8" s="360">
        <v>2</v>
      </c>
      <c r="B8" s="361">
        <v>9.4600000000000009</v>
      </c>
      <c r="C8" s="361">
        <v>9.6199999999999992</v>
      </c>
      <c r="D8" s="361">
        <v>0</v>
      </c>
      <c r="E8" s="361">
        <v>0.02</v>
      </c>
      <c r="F8" s="361">
        <v>19.100000000000001</v>
      </c>
      <c r="G8" s="362">
        <f>F31/25</f>
        <v>5.1063999999999998</v>
      </c>
      <c r="H8" s="362">
        <f>G8*0.5*44/12</f>
        <v>9.3617333333333335</v>
      </c>
      <c r="I8" s="357"/>
      <c r="J8" s="360">
        <v>2</v>
      </c>
      <c r="K8" s="361">
        <v>8.2799999999999994</v>
      </c>
      <c r="L8" s="361">
        <v>10.87</v>
      </c>
      <c r="M8" s="361">
        <v>0</v>
      </c>
      <c r="N8" s="361">
        <v>0.02</v>
      </c>
      <c r="O8" s="361">
        <v>19.170000000000002</v>
      </c>
      <c r="P8" s="362">
        <f>O31/25</f>
        <v>4.7427999999999999</v>
      </c>
      <c r="Q8" s="362">
        <f>P8*0.5*44/12</f>
        <v>8.6951333333333327</v>
      </c>
    </row>
    <row r="9" spans="1:17" x14ac:dyDescent="0.25">
      <c r="A9" s="360">
        <v>3</v>
      </c>
      <c r="B9" s="361">
        <v>15.99</v>
      </c>
      <c r="C9" s="361">
        <v>7.6</v>
      </c>
      <c r="D9" s="361">
        <v>4.08</v>
      </c>
      <c r="E9" s="361">
        <v>0.04</v>
      </c>
      <c r="F9" s="361">
        <v>27.71</v>
      </c>
      <c r="G9" s="362">
        <f>F31/25</f>
        <v>5.1063999999999998</v>
      </c>
      <c r="H9" s="362">
        <f t="shared" ref="H9:H31" si="0">G9*0.5*44/12</f>
        <v>9.3617333333333335</v>
      </c>
      <c r="I9" s="357"/>
      <c r="J9" s="360">
        <v>3</v>
      </c>
      <c r="K9" s="361">
        <v>13.8</v>
      </c>
      <c r="L9" s="361">
        <v>9.69</v>
      </c>
      <c r="M9" s="361">
        <v>2.98</v>
      </c>
      <c r="N9" s="361">
        <v>0.05</v>
      </c>
      <c r="O9" s="361">
        <v>26.52</v>
      </c>
      <c r="P9" s="362">
        <f>O31/25</f>
        <v>4.7427999999999999</v>
      </c>
      <c r="Q9" s="362">
        <f t="shared" ref="Q9:Q31" si="1">P9*0.5*44/12</f>
        <v>8.6951333333333327</v>
      </c>
    </row>
    <row r="10" spans="1:17" x14ac:dyDescent="0.25">
      <c r="A10" s="360">
        <v>4</v>
      </c>
      <c r="B10" s="361">
        <v>22.7</v>
      </c>
      <c r="C10" s="361">
        <v>6.16</v>
      </c>
      <c r="D10" s="361">
        <v>5.57</v>
      </c>
      <c r="E10" s="361">
        <v>7.0000000000000007E-2</v>
      </c>
      <c r="F10" s="361">
        <v>34.5</v>
      </c>
      <c r="G10" s="362">
        <f>F31/25</f>
        <v>5.1063999999999998</v>
      </c>
      <c r="H10" s="362">
        <f t="shared" si="0"/>
        <v>9.3617333333333335</v>
      </c>
      <c r="I10" s="357"/>
      <c r="J10" s="360">
        <v>4</v>
      </c>
      <c r="K10" s="361">
        <v>19.72</v>
      </c>
      <c r="L10" s="361">
        <v>8.5</v>
      </c>
      <c r="M10" s="361">
        <v>4.04</v>
      </c>
      <c r="N10" s="361">
        <v>0.08</v>
      </c>
      <c r="O10" s="361">
        <v>32.340000000000003</v>
      </c>
      <c r="P10" s="362">
        <f>O31/25</f>
        <v>4.7427999999999999</v>
      </c>
      <c r="Q10" s="362">
        <f t="shared" si="1"/>
        <v>8.6951333333333327</v>
      </c>
    </row>
    <row r="11" spans="1:17" x14ac:dyDescent="0.25">
      <c r="A11" s="360">
        <v>5</v>
      </c>
      <c r="B11" s="361">
        <v>29.05</v>
      </c>
      <c r="C11" s="361">
        <v>5.27</v>
      </c>
      <c r="D11" s="361">
        <v>6.07</v>
      </c>
      <c r="E11" s="361">
        <v>0.1</v>
      </c>
      <c r="F11" s="361">
        <v>40.49</v>
      </c>
      <c r="G11" s="362">
        <f>F31/25</f>
        <v>5.1063999999999998</v>
      </c>
      <c r="H11" s="362">
        <f t="shared" si="0"/>
        <v>9.3617333333333335</v>
      </c>
      <c r="I11" s="357"/>
      <c r="J11" s="360">
        <v>5</v>
      </c>
      <c r="K11" s="361">
        <v>25.48</v>
      </c>
      <c r="L11" s="361">
        <v>7.57</v>
      </c>
      <c r="M11" s="361">
        <v>4.38</v>
      </c>
      <c r="N11" s="361">
        <v>0.11</v>
      </c>
      <c r="O11" s="361">
        <v>37.54</v>
      </c>
      <c r="P11" s="362">
        <f>O31/25</f>
        <v>4.7427999999999999</v>
      </c>
      <c r="Q11" s="362">
        <f t="shared" si="1"/>
        <v>8.6951333333333327</v>
      </c>
    </row>
    <row r="12" spans="1:17" x14ac:dyDescent="0.25">
      <c r="A12" s="360">
        <v>6</v>
      </c>
      <c r="B12" s="361">
        <v>35.049999999999997</v>
      </c>
      <c r="C12" s="361">
        <v>4.76</v>
      </c>
      <c r="D12" s="361">
        <v>6.35</v>
      </c>
      <c r="E12" s="361">
        <v>0.13</v>
      </c>
      <c r="F12" s="361">
        <v>46.29</v>
      </c>
      <c r="G12" s="362">
        <f>F31/25</f>
        <v>5.1063999999999998</v>
      </c>
      <c r="H12" s="362">
        <f t="shared" si="0"/>
        <v>9.3617333333333335</v>
      </c>
      <c r="I12" s="357"/>
      <c r="J12" s="360">
        <v>6</v>
      </c>
      <c r="K12" s="361">
        <v>31.06</v>
      </c>
      <c r="L12" s="361">
        <v>6.93</v>
      </c>
      <c r="M12" s="361">
        <v>4.57</v>
      </c>
      <c r="N12" s="361">
        <v>0.14000000000000001</v>
      </c>
      <c r="O12" s="361">
        <v>42.7</v>
      </c>
      <c r="P12" s="362">
        <f>O31/25</f>
        <v>4.7427999999999999</v>
      </c>
      <c r="Q12" s="362">
        <f t="shared" si="1"/>
        <v>8.6951333333333327</v>
      </c>
    </row>
    <row r="13" spans="1:17" x14ac:dyDescent="0.25">
      <c r="A13" s="360">
        <v>7</v>
      </c>
      <c r="B13" s="361">
        <v>40.98</v>
      </c>
      <c r="C13" s="361">
        <v>4.28</v>
      </c>
      <c r="D13" s="361">
        <v>6.3</v>
      </c>
      <c r="E13" s="361">
        <v>0.16</v>
      </c>
      <c r="F13" s="361">
        <v>51.72</v>
      </c>
      <c r="G13" s="362">
        <f>F31/25</f>
        <v>5.1063999999999998</v>
      </c>
      <c r="H13" s="362">
        <f t="shared" si="0"/>
        <v>9.3617333333333335</v>
      </c>
      <c r="I13" s="357"/>
      <c r="J13" s="360">
        <v>7</v>
      </c>
      <c r="K13" s="361">
        <v>36.630000000000003</v>
      </c>
      <c r="L13" s="361">
        <v>6.25</v>
      </c>
      <c r="M13" s="361">
        <v>4.5199999999999996</v>
      </c>
      <c r="N13" s="361">
        <v>0.17</v>
      </c>
      <c r="O13" s="361">
        <v>47.57</v>
      </c>
      <c r="P13" s="362">
        <f>O31/25</f>
        <v>4.7427999999999999</v>
      </c>
      <c r="Q13" s="362">
        <f t="shared" si="1"/>
        <v>8.6951333333333327</v>
      </c>
    </row>
    <row r="14" spans="1:17" x14ac:dyDescent="0.25">
      <c r="A14" s="360">
        <v>8</v>
      </c>
      <c r="B14" s="361">
        <v>47</v>
      </c>
      <c r="C14" s="361">
        <v>3.93</v>
      </c>
      <c r="D14" s="361">
        <v>6.42</v>
      </c>
      <c r="E14" s="361">
        <v>0.45</v>
      </c>
      <c r="F14" s="361">
        <v>57.8</v>
      </c>
      <c r="G14" s="362">
        <f>F31/25</f>
        <v>5.1063999999999998</v>
      </c>
      <c r="H14" s="362">
        <f t="shared" si="0"/>
        <v>9.3617333333333335</v>
      </c>
      <c r="I14" s="357"/>
      <c r="J14" s="360">
        <v>8</v>
      </c>
      <c r="K14" s="361">
        <v>42.3</v>
      </c>
      <c r="L14" s="361">
        <v>5.7</v>
      </c>
      <c r="M14" s="361">
        <v>4.6100000000000003</v>
      </c>
      <c r="N14" s="361">
        <v>0.39</v>
      </c>
      <c r="O14" s="361">
        <v>53</v>
      </c>
      <c r="P14" s="362">
        <f>O31/25</f>
        <v>4.7427999999999999</v>
      </c>
      <c r="Q14" s="362">
        <f t="shared" si="1"/>
        <v>8.6951333333333327</v>
      </c>
    </row>
    <row r="15" spans="1:17" x14ac:dyDescent="0.25">
      <c r="A15" s="360">
        <v>9</v>
      </c>
      <c r="B15" s="361">
        <v>52.92</v>
      </c>
      <c r="C15" s="361">
        <v>3.66</v>
      </c>
      <c r="D15" s="361">
        <v>6.58</v>
      </c>
      <c r="E15" s="361">
        <v>0.84</v>
      </c>
      <c r="F15" s="361">
        <v>64</v>
      </c>
      <c r="G15" s="362">
        <f>F31/25</f>
        <v>5.1063999999999998</v>
      </c>
      <c r="H15" s="362">
        <f t="shared" si="0"/>
        <v>9.3617333333333335</v>
      </c>
      <c r="I15" s="357"/>
      <c r="J15" s="360">
        <v>9</v>
      </c>
      <c r="K15" s="361">
        <v>47.9</v>
      </c>
      <c r="L15" s="361">
        <v>5.24</v>
      </c>
      <c r="M15" s="361">
        <v>4.74</v>
      </c>
      <c r="N15" s="361">
        <v>0.69</v>
      </c>
      <c r="O15" s="361">
        <v>58.57</v>
      </c>
      <c r="P15" s="362">
        <f>O31/25</f>
        <v>4.7427999999999999</v>
      </c>
      <c r="Q15" s="362">
        <f t="shared" si="1"/>
        <v>8.6951333333333327</v>
      </c>
    </row>
    <row r="16" spans="1:17" x14ac:dyDescent="0.25">
      <c r="A16" s="360">
        <v>10</v>
      </c>
      <c r="B16" s="361">
        <v>58.69</v>
      </c>
      <c r="C16" s="361">
        <v>3.46</v>
      </c>
      <c r="D16" s="361">
        <v>6.73</v>
      </c>
      <c r="E16" s="361">
        <v>1.1000000000000001</v>
      </c>
      <c r="F16" s="361">
        <v>69.98</v>
      </c>
      <c r="G16" s="362">
        <f>F31/25</f>
        <v>5.1063999999999998</v>
      </c>
      <c r="H16" s="362">
        <f t="shared" si="0"/>
        <v>9.3617333333333335</v>
      </c>
      <c r="I16" s="357"/>
      <c r="J16" s="360">
        <v>10</v>
      </c>
      <c r="K16" s="361">
        <v>53.4</v>
      </c>
      <c r="L16" s="361">
        <v>4.8600000000000003</v>
      </c>
      <c r="M16" s="361">
        <v>4.8600000000000003</v>
      </c>
      <c r="N16" s="361">
        <v>0.89</v>
      </c>
      <c r="O16" s="361">
        <v>64.010000000000005</v>
      </c>
      <c r="P16" s="362">
        <f>O31/25</f>
        <v>4.7427999999999999</v>
      </c>
      <c r="Q16" s="362">
        <f t="shared" si="1"/>
        <v>8.6951333333333327</v>
      </c>
    </row>
    <row r="17" spans="1:17" x14ac:dyDescent="0.25">
      <c r="A17" s="360">
        <v>11</v>
      </c>
      <c r="B17" s="361">
        <v>64.319999999999993</v>
      </c>
      <c r="C17" s="361">
        <v>3.3</v>
      </c>
      <c r="D17" s="361">
        <v>6.89</v>
      </c>
      <c r="E17" s="361">
        <v>1.33</v>
      </c>
      <c r="F17" s="361">
        <v>75.84</v>
      </c>
      <c r="G17" s="362">
        <f>F31/25</f>
        <v>5.1063999999999998</v>
      </c>
      <c r="H17" s="362">
        <f t="shared" si="0"/>
        <v>9.3617333333333335</v>
      </c>
      <c r="I17" s="357"/>
      <c r="J17" s="360">
        <v>11</v>
      </c>
      <c r="K17" s="361">
        <v>58.78</v>
      </c>
      <c r="L17" s="361">
        <v>4.54</v>
      </c>
      <c r="M17" s="361">
        <v>4.99</v>
      </c>
      <c r="N17" s="361">
        <v>1.07</v>
      </c>
      <c r="O17" s="361">
        <v>69.38</v>
      </c>
      <c r="P17" s="362">
        <f>O31/25</f>
        <v>4.7427999999999999</v>
      </c>
      <c r="Q17" s="362">
        <f t="shared" si="1"/>
        <v>8.6951333333333327</v>
      </c>
    </row>
    <row r="18" spans="1:17" x14ac:dyDescent="0.25">
      <c r="A18" s="360">
        <v>12</v>
      </c>
      <c r="B18" s="361">
        <v>69.760000000000005</v>
      </c>
      <c r="C18" s="361">
        <v>3.17</v>
      </c>
      <c r="D18" s="361">
        <v>7.05</v>
      </c>
      <c r="E18" s="361">
        <v>1.55</v>
      </c>
      <c r="F18" s="361">
        <v>81.53</v>
      </c>
      <c r="G18" s="362">
        <f>F31/25</f>
        <v>5.1063999999999998</v>
      </c>
      <c r="H18" s="362">
        <f t="shared" si="0"/>
        <v>9.3617333333333335</v>
      </c>
      <c r="I18" s="357"/>
      <c r="J18" s="360">
        <v>12</v>
      </c>
      <c r="K18" s="361">
        <v>64.010000000000005</v>
      </c>
      <c r="L18" s="361">
        <v>4.2699999999999996</v>
      </c>
      <c r="M18" s="361">
        <v>5.12</v>
      </c>
      <c r="N18" s="361">
        <v>1.24</v>
      </c>
      <c r="O18" s="361">
        <v>74.64</v>
      </c>
      <c r="P18" s="362">
        <f>O31/25</f>
        <v>4.7427999999999999</v>
      </c>
      <c r="Q18" s="362">
        <f t="shared" si="1"/>
        <v>8.6951333333333327</v>
      </c>
    </row>
    <row r="19" spans="1:17" x14ac:dyDescent="0.25">
      <c r="A19" s="360">
        <v>13</v>
      </c>
      <c r="B19" s="361">
        <v>75</v>
      </c>
      <c r="C19" s="361">
        <v>3.07</v>
      </c>
      <c r="D19" s="361">
        <v>7.22</v>
      </c>
      <c r="E19" s="361">
        <v>1.78</v>
      </c>
      <c r="F19" s="361">
        <v>87.07</v>
      </c>
      <c r="G19" s="362">
        <f>F31/25</f>
        <v>5.1063999999999998</v>
      </c>
      <c r="H19" s="362">
        <f t="shared" si="0"/>
        <v>9.3617333333333335</v>
      </c>
      <c r="I19" s="357"/>
      <c r="J19" s="360">
        <v>13</v>
      </c>
      <c r="K19" s="361">
        <v>69.05</v>
      </c>
      <c r="L19" s="361">
        <v>4.03</v>
      </c>
      <c r="M19" s="361">
        <v>5.26</v>
      </c>
      <c r="N19" s="361">
        <v>1.42</v>
      </c>
      <c r="O19" s="361">
        <v>79.760000000000005</v>
      </c>
      <c r="P19" s="362">
        <f>O31/25</f>
        <v>4.7427999999999999</v>
      </c>
      <c r="Q19" s="362">
        <f t="shared" si="1"/>
        <v>8.6951333333333327</v>
      </c>
    </row>
    <row r="20" spans="1:17" x14ac:dyDescent="0.25">
      <c r="A20" s="360">
        <v>14</v>
      </c>
      <c r="B20" s="361">
        <v>79.98</v>
      </c>
      <c r="C20" s="361">
        <v>2.98</v>
      </c>
      <c r="D20" s="361">
        <v>7.39</v>
      </c>
      <c r="E20" s="361">
        <v>2.0099999999999998</v>
      </c>
      <c r="F20" s="361">
        <v>92.36</v>
      </c>
      <c r="G20" s="362">
        <f>F31/25</f>
        <v>5.1063999999999998</v>
      </c>
      <c r="H20" s="362">
        <f t="shared" si="0"/>
        <v>9.3617333333333335</v>
      </c>
      <c r="I20" s="357"/>
      <c r="J20" s="360">
        <v>14</v>
      </c>
      <c r="K20" s="361">
        <v>73.86</v>
      </c>
      <c r="L20" s="361">
        <v>3.83</v>
      </c>
      <c r="M20" s="361">
        <v>5.41</v>
      </c>
      <c r="N20" s="361">
        <v>1.61</v>
      </c>
      <c r="O20" s="361">
        <v>84.71</v>
      </c>
      <c r="P20" s="362">
        <f>O31/25</f>
        <v>4.7427999999999999</v>
      </c>
      <c r="Q20" s="362">
        <f t="shared" si="1"/>
        <v>8.6951333333333327</v>
      </c>
    </row>
    <row r="21" spans="1:17" x14ac:dyDescent="0.25">
      <c r="A21" s="360">
        <v>15</v>
      </c>
      <c r="B21" s="361">
        <v>84.69</v>
      </c>
      <c r="C21" s="361">
        <v>2.91</v>
      </c>
      <c r="D21" s="361">
        <v>7.56</v>
      </c>
      <c r="E21" s="361">
        <v>2.2400000000000002</v>
      </c>
      <c r="F21" s="361">
        <v>97.4</v>
      </c>
      <c r="G21" s="362">
        <f>F31/25</f>
        <v>5.1063999999999998</v>
      </c>
      <c r="H21" s="362">
        <f t="shared" si="0"/>
        <v>9.3617333333333335</v>
      </c>
      <c r="I21" s="357"/>
      <c r="J21" s="360">
        <v>15</v>
      </c>
      <c r="K21" s="361">
        <v>78.430000000000007</v>
      </c>
      <c r="L21" s="361">
        <v>3.66</v>
      </c>
      <c r="M21" s="361">
        <v>5.56</v>
      </c>
      <c r="N21" s="361">
        <v>1.79</v>
      </c>
      <c r="O21" s="361">
        <v>89.44</v>
      </c>
      <c r="P21" s="362">
        <f>O31/25</f>
        <v>4.7427999999999999</v>
      </c>
      <c r="Q21" s="362">
        <f t="shared" si="1"/>
        <v>8.6951333333333327</v>
      </c>
    </row>
    <row r="22" spans="1:17" x14ac:dyDescent="0.25">
      <c r="A22" s="360">
        <v>16</v>
      </c>
      <c r="B22" s="361">
        <v>89.1</v>
      </c>
      <c r="C22" s="361">
        <v>2.85</v>
      </c>
      <c r="D22" s="361">
        <v>7.74</v>
      </c>
      <c r="E22" s="361">
        <v>2.4700000000000002</v>
      </c>
      <c r="F22" s="361">
        <v>102.16</v>
      </c>
      <c r="G22" s="362">
        <f>F31/25</f>
        <v>5.1063999999999998</v>
      </c>
      <c r="H22" s="362">
        <f t="shared" si="0"/>
        <v>9.3617333333333335</v>
      </c>
      <c r="I22" s="357"/>
      <c r="J22" s="360">
        <v>16</v>
      </c>
      <c r="K22" s="361">
        <v>82.71</v>
      </c>
      <c r="L22" s="361">
        <v>3.51</v>
      </c>
      <c r="M22" s="361">
        <v>5.71</v>
      </c>
      <c r="N22" s="361">
        <v>1.98</v>
      </c>
      <c r="O22" s="361">
        <v>93.91</v>
      </c>
      <c r="P22" s="362">
        <f>O31/25</f>
        <v>4.7427999999999999</v>
      </c>
      <c r="Q22" s="362">
        <f t="shared" si="1"/>
        <v>8.6951333333333327</v>
      </c>
    </row>
    <row r="23" spans="1:17" x14ac:dyDescent="0.25">
      <c r="A23" s="360">
        <v>17</v>
      </c>
      <c r="B23" s="361">
        <v>93.19</v>
      </c>
      <c r="C23" s="361">
        <v>2.8</v>
      </c>
      <c r="D23" s="361">
        <v>7.9</v>
      </c>
      <c r="E23" s="361">
        <v>2.7</v>
      </c>
      <c r="F23" s="361">
        <v>106.59</v>
      </c>
      <c r="G23" s="362">
        <f>F31/25</f>
        <v>5.1063999999999998</v>
      </c>
      <c r="H23" s="362">
        <f t="shared" si="0"/>
        <v>9.3617333333333335</v>
      </c>
      <c r="I23" s="357"/>
      <c r="J23" s="360">
        <v>17</v>
      </c>
      <c r="K23" s="361">
        <v>86.69</v>
      </c>
      <c r="L23" s="361">
        <v>3.39</v>
      </c>
      <c r="M23" s="361">
        <v>5.86</v>
      </c>
      <c r="N23" s="361">
        <v>2.17</v>
      </c>
      <c r="O23" s="361">
        <v>98.11</v>
      </c>
      <c r="P23" s="362">
        <f>O31/25</f>
        <v>4.7427999999999999</v>
      </c>
      <c r="Q23" s="362">
        <f t="shared" si="1"/>
        <v>8.6951333333333327</v>
      </c>
    </row>
    <row r="24" spans="1:17" x14ac:dyDescent="0.25">
      <c r="A24" s="360">
        <v>18</v>
      </c>
      <c r="B24" s="361">
        <v>96.9</v>
      </c>
      <c r="C24" s="361">
        <v>2.76</v>
      </c>
      <c r="D24" s="361">
        <v>8.06</v>
      </c>
      <c r="E24" s="361">
        <v>2.92</v>
      </c>
      <c r="F24" s="361">
        <v>110.64</v>
      </c>
      <c r="G24" s="362">
        <f>F31/25</f>
        <v>5.1063999999999998</v>
      </c>
      <c r="H24" s="362">
        <f t="shared" si="0"/>
        <v>9.3617333333333335</v>
      </c>
      <c r="I24" s="357"/>
      <c r="J24" s="360">
        <v>18</v>
      </c>
      <c r="K24" s="361">
        <v>90.33</v>
      </c>
      <c r="L24" s="361">
        <v>3.28</v>
      </c>
      <c r="M24" s="361">
        <v>6.01</v>
      </c>
      <c r="N24" s="361">
        <v>2.36</v>
      </c>
      <c r="O24" s="361">
        <v>101.98</v>
      </c>
      <c r="P24" s="362">
        <f>O31/25</f>
        <v>4.7427999999999999</v>
      </c>
      <c r="Q24" s="362">
        <f t="shared" si="1"/>
        <v>8.6951333333333327</v>
      </c>
    </row>
    <row r="25" spans="1:17" x14ac:dyDescent="0.25">
      <c r="A25" s="360">
        <v>19</v>
      </c>
      <c r="B25" s="361">
        <v>100.24</v>
      </c>
      <c r="C25" s="361">
        <v>2.73</v>
      </c>
      <c r="D25" s="361">
        <v>8.2100000000000009</v>
      </c>
      <c r="E25" s="361">
        <v>3.15</v>
      </c>
      <c r="F25" s="361">
        <v>114.33</v>
      </c>
      <c r="G25" s="362">
        <f>F31/25</f>
        <v>5.1063999999999998</v>
      </c>
      <c r="H25" s="362">
        <f t="shared" si="0"/>
        <v>9.3617333333333335</v>
      </c>
      <c r="I25" s="357"/>
      <c r="J25" s="360">
        <v>19</v>
      </c>
      <c r="K25" s="361">
        <v>93.62</v>
      </c>
      <c r="L25" s="361">
        <v>3.19</v>
      </c>
      <c r="M25" s="361">
        <v>6.15</v>
      </c>
      <c r="N25" s="361">
        <v>2.5499999999999998</v>
      </c>
      <c r="O25" s="361">
        <v>105.51</v>
      </c>
      <c r="P25" s="362">
        <f>O31/25</f>
        <v>4.7427999999999999</v>
      </c>
      <c r="Q25" s="362">
        <f t="shared" si="1"/>
        <v>8.6951333333333327</v>
      </c>
    </row>
    <row r="26" spans="1:17" x14ac:dyDescent="0.25">
      <c r="A26" s="360">
        <v>20</v>
      </c>
      <c r="B26" s="361">
        <v>103.21</v>
      </c>
      <c r="C26" s="361">
        <v>2.71</v>
      </c>
      <c r="D26" s="361">
        <v>8.33</v>
      </c>
      <c r="E26" s="361">
        <v>3.36</v>
      </c>
      <c r="F26" s="361">
        <v>117.61</v>
      </c>
      <c r="G26" s="362">
        <f>F31/25</f>
        <v>5.1063999999999998</v>
      </c>
      <c r="H26" s="362">
        <f t="shared" si="0"/>
        <v>9.3617333333333335</v>
      </c>
      <c r="I26" s="357"/>
      <c r="J26" s="360">
        <v>20</v>
      </c>
      <c r="K26" s="361">
        <v>96.54</v>
      </c>
      <c r="L26" s="361">
        <v>3.12</v>
      </c>
      <c r="M26" s="361">
        <v>6.27</v>
      </c>
      <c r="N26" s="361">
        <v>2.73</v>
      </c>
      <c r="O26" s="361">
        <v>108.66</v>
      </c>
      <c r="P26" s="362">
        <f>O31/25</f>
        <v>4.7427999999999999</v>
      </c>
      <c r="Q26" s="362">
        <f t="shared" si="1"/>
        <v>8.6951333333333327</v>
      </c>
    </row>
    <row r="27" spans="1:17" x14ac:dyDescent="0.25">
      <c r="A27" s="360">
        <v>21</v>
      </c>
      <c r="B27" s="361">
        <v>105.77</v>
      </c>
      <c r="C27" s="361">
        <v>2.69</v>
      </c>
      <c r="D27" s="361">
        <v>8.44</v>
      </c>
      <c r="E27" s="361">
        <v>3.57</v>
      </c>
      <c r="F27" s="361">
        <v>120.47</v>
      </c>
      <c r="G27" s="362">
        <f>F31/25</f>
        <v>5.1063999999999998</v>
      </c>
      <c r="H27" s="362">
        <f t="shared" si="0"/>
        <v>9.3617333333333335</v>
      </c>
      <c r="I27" s="357"/>
      <c r="J27" s="360">
        <v>21</v>
      </c>
      <c r="K27" s="361">
        <v>99.09</v>
      </c>
      <c r="L27" s="361">
        <v>3.06</v>
      </c>
      <c r="M27" s="361">
        <v>6.39</v>
      </c>
      <c r="N27" s="361">
        <v>2.91</v>
      </c>
      <c r="O27" s="361">
        <v>111.45</v>
      </c>
      <c r="P27" s="362">
        <f>O31/25</f>
        <v>4.7427999999999999</v>
      </c>
      <c r="Q27" s="362">
        <f t="shared" si="1"/>
        <v>8.6951333333333327</v>
      </c>
    </row>
    <row r="28" spans="1:17" x14ac:dyDescent="0.25">
      <c r="A28" s="360">
        <v>22</v>
      </c>
      <c r="B28" s="361">
        <v>107.89</v>
      </c>
      <c r="C28" s="361">
        <v>2.68</v>
      </c>
      <c r="D28" s="361">
        <v>8.5399999999999991</v>
      </c>
      <c r="E28" s="361">
        <v>3.77</v>
      </c>
      <c r="F28" s="361">
        <v>122.88</v>
      </c>
      <c r="G28" s="362">
        <f>F31/25</f>
        <v>5.1063999999999998</v>
      </c>
      <c r="H28" s="362">
        <f t="shared" si="0"/>
        <v>9.3617333333333335</v>
      </c>
      <c r="I28" s="357"/>
      <c r="J28" s="360">
        <v>22</v>
      </c>
      <c r="K28" s="361">
        <v>101.24</v>
      </c>
      <c r="L28" s="361">
        <v>3</v>
      </c>
      <c r="M28" s="361">
        <v>6.49</v>
      </c>
      <c r="N28" s="361">
        <v>3.08</v>
      </c>
      <c r="O28" s="361">
        <v>113.81</v>
      </c>
      <c r="P28" s="362">
        <f>O31/25</f>
        <v>4.7427999999999999</v>
      </c>
      <c r="Q28" s="362">
        <f t="shared" si="1"/>
        <v>8.6951333333333327</v>
      </c>
    </row>
    <row r="29" spans="1:17" x14ac:dyDescent="0.25">
      <c r="A29" s="360">
        <v>23</v>
      </c>
      <c r="B29" s="361">
        <v>109.65</v>
      </c>
      <c r="C29" s="361">
        <v>2.67</v>
      </c>
      <c r="D29" s="361">
        <v>8.61</v>
      </c>
      <c r="E29" s="361">
        <v>3.96</v>
      </c>
      <c r="F29" s="361">
        <v>124.89</v>
      </c>
      <c r="G29" s="362">
        <f>F31/25</f>
        <v>5.1063999999999998</v>
      </c>
      <c r="H29" s="362">
        <f t="shared" si="0"/>
        <v>9.3617333333333335</v>
      </c>
      <c r="I29" s="357"/>
      <c r="J29" s="360">
        <v>23</v>
      </c>
      <c r="K29" s="361">
        <v>103.01</v>
      </c>
      <c r="L29" s="361">
        <v>2.96</v>
      </c>
      <c r="M29" s="361">
        <v>6.58</v>
      </c>
      <c r="N29" s="361">
        <v>3.25</v>
      </c>
      <c r="O29" s="361">
        <v>115.8</v>
      </c>
      <c r="P29" s="362">
        <f>O31/25</f>
        <v>4.7427999999999999</v>
      </c>
      <c r="Q29" s="362">
        <f t="shared" si="1"/>
        <v>8.6951333333333327</v>
      </c>
    </row>
    <row r="30" spans="1:17" x14ac:dyDescent="0.25">
      <c r="A30" s="360">
        <v>24</v>
      </c>
      <c r="B30" s="361">
        <v>111.01</v>
      </c>
      <c r="C30" s="361">
        <v>2.67</v>
      </c>
      <c r="D30" s="361">
        <v>8.67</v>
      </c>
      <c r="E30" s="361">
        <v>4.1399999999999997</v>
      </c>
      <c r="F30" s="361">
        <v>126.49</v>
      </c>
      <c r="G30" s="362">
        <f>F31/25</f>
        <v>5.1063999999999998</v>
      </c>
      <c r="H30" s="362">
        <f t="shared" si="0"/>
        <v>9.3617333333333335</v>
      </c>
      <c r="I30" s="357"/>
      <c r="J30" s="360">
        <v>24</v>
      </c>
      <c r="K30" s="361">
        <v>104.39</v>
      </c>
      <c r="L30" s="361">
        <v>2.92</v>
      </c>
      <c r="M30" s="361">
        <v>6.65</v>
      </c>
      <c r="N30" s="361">
        <v>3.41</v>
      </c>
      <c r="O30" s="361">
        <v>117.37</v>
      </c>
      <c r="P30" s="362">
        <f>O31/25</f>
        <v>4.7427999999999999</v>
      </c>
      <c r="Q30" s="362">
        <f t="shared" si="1"/>
        <v>8.6951333333333327</v>
      </c>
    </row>
    <row r="31" spans="1:17" x14ac:dyDescent="0.25">
      <c r="A31" s="360">
        <v>25</v>
      </c>
      <c r="B31" s="361">
        <v>111.97</v>
      </c>
      <c r="C31" s="361">
        <v>2.66</v>
      </c>
      <c r="D31" s="361">
        <v>8.7200000000000006</v>
      </c>
      <c r="E31" s="361">
        <v>4.3099999999999996</v>
      </c>
      <c r="F31" s="361">
        <v>127.66</v>
      </c>
      <c r="G31" s="362">
        <f>F31/25</f>
        <v>5.1063999999999998</v>
      </c>
      <c r="H31" s="362">
        <f t="shared" si="0"/>
        <v>9.3617333333333335</v>
      </c>
      <c r="I31" s="357"/>
      <c r="J31" s="360">
        <v>25</v>
      </c>
      <c r="K31" s="361">
        <v>105.4</v>
      </c>
      <c r="L31" s="361">
        <v>2.89</v>
      </c>
      <c r="M31" s="361">
        <v>6.72</v>
      </c>
      <c r="N31" s="361">
        <v>3.56</v>
      </c>
      <c r="O31" s="361">
        <v>118.57</v>
      </c>
      <c r="P31" s="362">
        <f>O31/25</f>
        <v>4.7427999999999999</v>
      </c>
      <c r="Q31" s="362">
        <f t="shared" si="1"/>
        <v>8.6951333333333327</v>
      </c>
    </row>
    <row r="34" spans="7:7" x14ac:dyDescent="0.25">
      <c r="G34" s="476" t="s">
        <v>480</v>
      </c>
    </row>
  </sheetData>
  <mergeCells count="1">
    <mergeCell ref="A2: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85"/>
  <sheetViews>
    <sheetView topLeftCell="A82" workbookViewId="0">
      <selection activeCell="A85" sqref="A85"/>
    </sheetView>
  </sheetViews>
  <sheetFormatPr defaultColWidth="9.140625" defaultRowHeight="15" x14ac:dyDescent="0.25"/>
  <cols>
    <col min="1" max="1" width="59.85546875" style="61" customWidth="1"/>
    <col min="2" max="2" width="10.140625" style="61" bestFit="1" customWidth="1"/>
    <col min="3" max="3" width="4.85546875" style="61" customWidth="1"/>
    <col min="4" max="4" width="28.85546875" style="61" customWidth="1"/>
    <col min="5" max="5" width="10.140625" style="61" customWidth="1"/>
    <col min="6" max="6" width="4.85546875" style="61" customWidth="1"/>
    <col min="7" max="7" width="27.85546875" style="61" bestFit="1" customWidth="1"/>
    <col min="8" max="8" width="10.140625" style="61" customWidth="1"/>
    <col min="9" max="9" width="3.85546875" style="61" customWidth="1"/>
    <col min="10" max="10" width="27.85546875" style="61" bestFit="1" customWidth="1"/>
    <col min="11" max="11" width="12.140625" style="61" customWidth="1"/>
    <col min="12" max="16384" width="9.140625" style="61"/>
  </cols>
  <sheetData>
    <row r="1" spans="1:7" x14ac:dyDescent="0.25">
      <c r="A1" s="69"/>
    </row>
    <row r="2" spans="1:7" ht="54.75" customHeight="1" x14ac:dyDescent="0.25">
      <c r="A2" s="422" t="s">
        <v>143</v>
      </c>
      <c r="B2" s="423"/>
      <c r="C2" s="424"/>
      <c r="D2" s="424"/>
      <c r="E2" s="424"/>
      <c r="F2" s="424"/>
      <c r="G2" s="425"/>
    </row>
    <row r="3" spans="1:7" x14ac:dyDescent="0.25">
      <c r="A3" s="70"/>
    </row>
    <row r="4" spans="1:7" x14ac:dyDescent="0.25">
      <c r="A4" s="69" t="s">
        <v>144</v>
      </c>
      <c r="B4" s="66"/>
    </row>
    <row r="5" spans="1:7" x14ac:dyDescent="0.25">
      <c r="A5" s="69" t="s">
        <v>145</v>
      </c>
      <c r="B5" s="66"/>
    </row>
    <row r="6" spans="1:7" x14ac:dyDescent="0.25">
      <c r="A6" s="87" t="s">
        <v>146</v>
      </c>
      <c r="B6" s="141">
        <f>'2. Produksi FFB'!B8</f>
        <v>0</v>
      </c>
    </row>
    <row r="7" spans="1:7" x14ac:dyDescent="0.25">
      <c r="A7" s="65" t="s">
        <v>147</v>
      </c>
      <c r="B7" s="392"/>
    </row>
    <row r="8" spans="1:7" x14ac:dyDescent="0.25">
      <c r="A8" s="65" t="s">
        <v>148</v>
      </c>
      <c r="B8" s="392"/>
    </row>
    <row r="9" spans="1:7" x14ac:dyDescent="0.25">
      <c r="A9" s="65" t="s">
        <v>149</v>
      </c>
      <c r="B9" s="141">
        <f>B6*B7/100</f>
        <v>0</v>
      </c>
    </row>
    <row r="10" spans="1:7" x14ac:dyDescent="0.25">
      <c r="A10" s="65" t="s">
        <v>150</v>
      </c>
      <c r="B10" s="141">
        <f>B6*B8/100</f>
        <v>0</v>
      </c>
    </row>
    <row r="11" spans="1:7" x14ac:dyDescent="0.25">
      <c r="A11" s="69"/>
      <c r="B11" s="66"/>
    </row>
    <row r="12" spans="1:7" x14ac:dyDescent="0.25">
      <c r="A12" s="69" t="s">
        <v>151</v>
      </c>
      <c r="B12" s="66"/>
    </row>
    <row r="13" spans="1:7" x14ac:dyDescent="0.25">
      <c r="A13" s="194" t="s">
        <v>152</v>
      </c>
    </row>
    <row r="14" spans="1:7" ht="18" x14ac:dyDescent="0.35">
      <c r="A14" s="72" t="s">
        <v>71</v>
      </c>
      <c r="B14" s="73">
        <f>'Data default'!B7</f>
        <v>3.12</v>
      </c>
      <c r="D14" s="72" t="s">
        <v>101</v>
      </c>
      <c r="E14" s="392"/>
    </row>
    <row r="15" spans="1:7" ht="18" x14ac:dyDescent="0.35">
      <c r="A15" s="72" t="s">
        <v>89</v>
      </c>
      <c r="B15" s="62">
        <f>'Data default'!B8</f>
        <v>2.75</v>
      </c>
      <c r="D15" s="195" t="s">
        <v>102</v>
      </c>
      <c r="E15" s="392"/>
    </row>
    <row r="16" spans="1:7" ht="15.75" customHeight="1" x14ac:dyDescent="0.25">
      <c r="A16" s="69"/>
      <c r="B16" s="66"/>
    </row>
    <row r="17" spans="1:11" x14ac:dyDescent="0.25">
      <c r="A17" s="193" t="s">
        <v>153</v>
      </c>
      <c r="B17" s="62"/>
    </row>
    <row r="18" spans="1:11" x14ac:dyDescent="0.25">
      <c r="A18" s="192" t="s">
        <v>90</v>
      </c>
      <c r="B18" s="62"/>
      <c r="D18" s="69" t="s">
        <v>91</v>
      </c>
      <c r="G18" s="69" t="s">
        <v>103</v>
      </c>
      <c r="J18" s="69" t="s">
        <v>104</v>
      </c>
    </row>
    <row r="19" spans="1:11" ht="18" customHeight="1" x14ac:dyDescent="0.25">
      <c r="A19" s="72" t="s">
        <v>154</v>
      </c>
      <c r="B19" s="395"/>
      <c r="D19" s="72" t="s">
        <v>154</v>
      </c>
      <c r="E19" s="395">
        <v>0</v>
      </c>
      <c r="G19" s="72" t="s">
        <v>154</v>
      </c>
      <c r="H19" s="396">
        <v>0</v>
      </c>
      <c r="J19" s="72" t="s">
        <v>154</v>
      </c>
      <c r="K19" s="264">
        <v>0</v>
      </c>
    </row>
    <row r="20" spans="1:11" x14ac:dyDescent="0.25">
      <c r="A20" s="65" t="s">
        <v>155</v>
      </c>
      <c r="B20" s="141">
        <f>B19*B6</f>
        <v>0</v>
      </c>
      <c r="D20" s="65" t="s">
        <v>155</v>
      </c>
      <c r="E20" s="141">
        <f>E19*B6</f>
        <v>0</v>
      </c>
      <c r="G20" s="65" t="s">
        <v>155</v>
      </c>
      <c r="H20" s="141">
        <f>H19*B6</f>
        <v>0</v>
      </c>
      <c r="J20" s="65" t="s">
        <v>155</v>
      </c>
      <c r="K20" s="141">
        <f>K19*B6</f>
        <v>0</v>
      </c>
    </row>
    <row r="21" spans="1:11" x14ac:dyDescent="0.25">
      <c r="B21" s="66"/>
      <c r="E21" s="66"/>
    </row>
    <row r="22" spans="1:11" x14ac:dyDescent="0.25">
      <c r="A22" s="111" t="s">
        <v>156</v>
      </c>
      <c r="B22" s="95"/>
    </row>
    <row r="23" spans="1:11" ht="18" x14ac:dyDescent="0.35">
      <c r="A23" s="87" t="s">
        <v>75</v>
      </c>
      <c r="B23" s="131">
        <f>(B20*B14+E20*B15+H20*E14+K20*E15)/1000</f>
        <v>0</v>
      </c>
    </row>
    <row r="24" spans="1:11" x14ac:dyDescent="0.25">
      <c r="A24" s="69"/>
      <c r="B24" s="66"/>
    </row>
    <row r="25" spans="1:11" x14ac:dyDescent="0.25">
      <c r="A25" s="176" t="s">
        <v>157</v>
      </c>
      <c r="B25" s="80"/>
      <c r="C25" s="74"/>
    </row>
    <row r="26" spans="1:11" x14ac:dyDescent="0.25">
      <c r="A26" s="111" t="s">
        <v>158</v>
      </c>
      <c r="C26" s="74"/>
    </row>
    <row r="27" spans="1:11" x14ac:dyDescent="0.25">
      <c r="A27" s="74" t="s">
        <v>13</v>
      </c>
      <c r="B27" s="106">
        <f>'Data default'!B19</f>
        <v>0.67249999999999999</v>
      </c>
      <c r="C27" s="74"/>
    </row>
    <row r="28" spans="1:11" x14ac:dyDescent="0.25">
      <c r="A28" s="74" t="s">
        <v>14</v>
      </c>
      <c r="B28" s="106">
        <f>'Data default'!B20</f>
        <v>13.1</v>
      </c>
      <c r="C28" s="74"/>
    </row>
    <row r="29" spans="1:11" ht="18" x14ac:dyDescent="0.35">
      <c r="A29" s="74" t="s">
        <v>42</v>
      </c>
      <c r="B29" s="106">
        <f>'Data default'!B21</f>
        <v>22.25</v>
      </c>
      <c r="C29" s="74"/>
    </row>
    <row r="30" spans="1:11" x14ac:dyDescent="0.25">
      <c r="A30" s="74" t="s">
        <v>15</v>
      </c>
      <c r="B30" s="106">
        <f>'Data default'!B22</f>
        <v>0.22</v>
      </c>
      <c r="C30" s="74"/>
    </row>
    <row r="31" spans="1:11" s="74" customFormat="1" x14ac:dyDescent="0.25">
      <c r="A31" s="176"/>
      <c r="B31" s="80"/>
      <c r="C31" s="61"/>
      <c r="D31" s="61"/>
      <c r="E31" s="61"/>
    </row>
    <row r="32" spans="1:11" s="86" customFormat="1" x14ac:dyDescent="0.25">
      <c r="A32" s="176" t="s">
        <v>159</v>
      </c>
      <c r="B32" s="80"/>
      <c r="C32" s="61"/>
      <c r="D32" s="61"/>
      <c r="E32" s="61"/>
    </row>
    <row r="33" spans="1:11" x14ac:dyDescent="0.25">
      <c r="A33" s="128" t="s">
        <v>160</v>
      </c>
      <c r="B33" s="196">
        <f>B6*B27</f>
        <v>0</v>
      </c>
    </row>
    <row r="34" spans="1:11" ht="18" x14ac:dyDescent="0.35">
      <c r="A34" s="74" t="s">
        <v>43</v>
      </c>
      <c r="B34" s="67">
        <f>B33*B28/1000</f>
        <v>0</v>
      </c>
    </row>
    <row r="35" spans="1:11" x14ac:dyDescent="0.25">
      <c r="A35" s="74"/>
    </row>
    <row r="36" spans="1:11" x14ac:dyDescent="0.25">
      <c r="A36" s="111" t="s">
        <v>161</v>
      </c>
      <c r="B36" s="80"/>
    </row>
    <row r="37" spans="1:11" x14ac:dyDescent="0.25">
      <c r="A37" s="129" t="s">
        <v>162</v>
      </c>
      <c r="B37" s="40"/>
    </row>
    <row r="38" spans="1:11" x14ac:dyDescent="0.25">
      <c r="A38" s="129" t="s">
        <v>163</v>
      </c>
      <c r="B38" s="40"/>
    </row>
    <row r="39" spans="1:11" x14ac:dyDescent="0.25">
      <c r="A39" s="129" t="s">
        <v>164</v>
      </c>
      <c r="B39" s="40"/>
      <c r="G39" s="460" t="s">
        <v>201</v>
      </c>
      <c r="H39" s="460"/>
      <c r="I39" s="460"/>
      <c r="J39" s="460"/>
      <c r="K39" s="460"/>
    </row>
    <row r="40" spans="1:11" ht="15.75" thickBot="1" x14ac:dyDescent="0.3">
      <c r="A40" s="129"/>
      <c r="B40" s="88" t="str">
        <f>IF(SUM(B37:B39)=100,"","WARNING!")</f>
        <v>WARNING!</v>
      </c>
      <c r="G40" s="461"/>
      <c r="H40" s="461"/>
      <c r="I40" s="461"/>
      <c r="J40" s="461"/>
      <c r="K40" s="461"/>
    </row>
    <row r="41" spans="1:11" ht="18" customHeight="1" x14ac:dyDescent="0.25">
      <c r="A41" s="130" t="s">
        <v>165</v>
      </c>
      <c r="B41" s="86"/>
      <c r="G41" s="320" t="s">
        <v>120</v>
      </c>
      <c r="H41" s="321"/>
      <c r="I41" s="322"/>
      <c r="J41" s="323" t="s">
        <v>140</v>
      </c>
      <c r="K41" s="210"/>
    </row>
    <row r="42" spans="1:11" ht="18" customHeight="1" x14ac:dyDescent="0.35">
      <c r="A42" s="114" t="s">
        <v>166</v>
      </c>
      <c r="B42" s="132">
        <f>'Data default'!$B23</f>
        <v>7.8</v>
      </c>
      <c r="G42" s="324" t="s">
        <v>121</v>
      </c>
      <c r="H42" s="266"/>
      <c r="I42" s="270"/>
      <c r="J42" s="325">
        <v>0.42627999999999999</v>
      </c>
      <c r="K42" s="269"/>
    </row>
    <row r="43" spans="1:11" ht="18" customHeight="1" x14ac:dyDescent="0.35">
      <c r="A43" s="114" t="s">
        <v>167</v>
      </c>
      <c r="B43" s="116">
        <f>'Data default'!$B24</f>
        <v>15</v>
      </c>
      <c r="G43" s="324" t="s">
        <v>122</v>
      </c>
      <c r="H43" s="266"/>
      <c r="I43" s="270"/>
      <c r="J43" s="325">
        <v>9.8169999999999993E-2</v>
      </c>
      <c r="K43" s="269"/>
    </row>
    <row r="44" spans="1:11" ht="18" customHeight="1" x14ac:dyDescent="0.35">
      <c r="A44" s="114" t="s">
        <v>168</v>
      </c>
      <c r="B44" s="116">
        <f>'Data default'!$B25</f>
        <v>12</v>
      </c>
      <c r="G44" s="324" t="s">
        <v>123</v>
      </c>
      <c r="H44" s="266"/>
      <c r="I44" s="270"/>
      <c r="J44" s="325">
        <v>0.52895999999999999</v>
      </c>
      <c r="K44" s="269"/>
    </row>
    <row r="45" spans="1:11" ht="18" customHeight="1" x14ac:dyDescent="0.35">
      <c r="A45" s="114" t="s">
        <v>169</v>
      </c>
      <c r="B45" s="92">
        <f>(100-B42)-(100-B42)*B43/100</f>
        <v>78.37</v>
      </c>
      <c r="G45" s="324" t="s">
        <v>124</v>
      </c>
      <c r="H45" s="266"/>
      <c r="I45" s="270"/>
      <c r="J45" s="325">
        <v>0.20859</v>
      </c>
      <c r="K45" s="269"/>
    </row>
    <row r="46" spans="1:11" ht="18" customHeight="1" x14ac:dyDescent="0.35">
      <c r="A46" s="114" t="s">
        <v>170</v>
      </c>
      <c r="B46" s="132">
        <f>'Data default'!$B26</f>
        <v>1.2</v>
      </c>
      <c r="G46" s="324" t="s">
        <v>125</v>
      </c>
      <c r="H46" s="266"/>
      <c r="I46" s="270"/>
      <c r="J46" s="325">
        <v>0.12277</v>
      </c>
      <c r="K46" s="269"/>
    </row>
    <row r="47" spans="1:11" ht="18" customHeight="1" x14ac:dyDescent="0.25">
      <c r="A47" s="114" t="s">
        <v>171</v>
      </c>
      <c r="B47" s="92">
        <f>B42+((100-B42)*B43/100*B44/100)+(B45*B46/100)</f>
        <v>10.400040000000001</v>
      </c>
      <c r="G47" s="324" t="s">
        <v>126</v>
      </c>
      <c r="H47" s="266"/>
      <c r="I47" s="270"/>
      <c r="J47" s="325">
        <v>0.22996</v>
      </c>
      <c r="K47" s="269"/>
    </row>
    <row r="48" spans="1:11" ht="18" customHeight="1" x14ac:dyDescent="0.25">
      <c r="A48" s="114" t="s">
        <v>172</v>
      </c>
      <c r="B48" s="116">
        <f>'Data default'!$B27</f>
        <v>40</v>
      </c>
      <c r="G48" s="324" t="s">
        <v>127</v>
      </c>
      <c r="H48" s="266"/>
      <c r="I48" s="270"/>
      <c r="J48" s="325">
        <v>5.4359999999999999E-2</v>
      </c>
      <c r="K48" s="269"/>
    </row>
    <row r="49" spans="1:11" ht="18" customHeight="1" x14ac:dyDescent="0.35">
      <c r="A49" s="114" t="s">
        <v>173</v>
      </c>
      <c r="B49" s="92">
        <f>B45*B48/100</f>
        <v>31.348000000000003</v>
      </c>
      <c r="G49" s="324" t="s">
        <v>128</v>
      </c>
      <c r="H49" s="266"/>
      <c r="I49" s="270"/>
      <c r="J49" s="325">
        <v>0.49037999999999998</v>
      </c>
      <c r="K49" s="269"/>
    </row>
    <row r="50" spans="1:11" ht="18" customHeight="1" x14ac:dyDescent="0.35">
      <c r="A50" s="114" t="s">
        <v>174</v>
      </c>
      <c r="B50" s="132">
        <f>'Data default'!$B28</f>
        <v>45.1</v>
      </c>
      <c r="G50" s="324" t="s">
        <v>129</v>
      </c>
      <c r="H50" s="266"/>
      <c r="I50" s="270"/>
      <c r="J50" s="325">
        <v>0.31302000000000002</v>
      </c>
      <c r="K50" s="269"/>
    </row>
    <row r="51" spans="1:11" ht="18" customHeight="1" x14ac:dyDescent="0.35">
      <c r="A51" s="99" t="s">
        <v>175</v>
      </c>
      <c r="B51" s="133">
        <f>'Data default'!$B30</f>
        <v>0.17699999999999999</v>
      </c>
      <c r="G51" s="324" t="s">
        <v>130</v>
      </c>
      <c r="H51" s="266"/>
      <c r="I51" s="270"/>
      <c r="J51" s="325">
        <v>0.43613000000000002</v>
      </c>
      <c r="K51" s="269"/>
    </row>
    <row r="52" spans="1:11" ht="18" customHeight="1" x14ac:dyDescent="0.25">
      <c r="A52" s="130" t="s">
        <v>176</v>
      </c>
      <c r="G52" s="324" t="s">
        <v>131</v>
      </c>
      <c r="H52" s="266"/>
      <c r="I52" s="270"/>
      <c r="J52" s="325">
        <v>0.24944</v>
      </c>
      <c r="K52" s="269"/>
    </row>
    <row r="53" spans="1:11" ht="18" customHeight="1" x14ac:dyDescent="0.35">
      <c r="A53" s="114" t="s">
        <v>166</v>
      </c>
      <c r="B53" s="132">
        <f>'Data default'!$B23</f>
        <v>7.8</v>
      </c>
      <c r="C53" s="83"/>
      <c r="G53" s="324" t="s">
        <v>132</v>
      </c>
      <c r="H53" s="266"/>
      <c r="I53" s="270"/>
      <c r="J53" s="325">
        <v>0.25423000000000001</v>
      </c>
      <c r="K53" s="269"/>
    </row>
    <row r="54" spans="1:11" ht="18" customHeight="1" x14ac:dyDescent="0.35">
      <c r="A54" s="114" t="s">
        <v>177</v>
      </c>
      <c r="B54" s="116">
        <f>'Data default'!$B25</f>
        <v>12</v>
      </c>
      <c r="C54" s="83"/>
      <c r="G54" s="324" t="s">
        <v>133</v>
      </c>
      <c r="H54" s="266"/>
      <c r="I54" s="270"/>
      <c r="J54" s="325">
        <v>0.36347000000000002</v>
      </c>
      <c r="K54" s="269"/>
    </row>
    <row r="55" spans="1:11" ht="18" customHeight="1" x14ac:dyDescent="0.35">
      <c r="A55" s="99" t="s">
        <v>178</v>
      </c>
      <c r="B55" s="92">
        <f>B53+(100-B53)*B54/100</f>
        <v>18.864000000000001</v>
      </c>
      <c r="C55" s="83"/>
      <c r="F55" s="186"/>
      <c r="G55" s="324" t="s">
        <v>134</v>
      </c>
      <c r="H55" s="266"/>
      <c r="I55" s="270"/>
      <c r="J55" s="325">
        <v>0.92610000000000003</v>
      </c>
      <c r="K55" s="269"/>
    </row>
    <row r="56" spans="1:11" x14ac:dyDescent="0.25">
      <c r="A56" s="99"/>
      <c r="B56" s="74"/>
      <c r="C56" s="83"/>
      <c r="G56" s="324" t="s">
        <v>135</v>
      </c>
      <c r="H56" s="266"/>
      <c r="I56" s="270"/>
      <c r="J56" s="325">
        <v>0.80918999999999996</v>
      </c>
      <c r="K56" s="269"/>
    </row>
    <row r="57" spans="1:11" x14ac:dyDescent="0.25">
      <c r="A57" s="127" t="s">
        <v>179</v>
      </c>
      <c r="B57" s="106"/>
      <c r="C57" s="83"/>
      <c r="G57" s="324" t="s">
        <v>136</v>
      </c>
      <c r="H57" s="266"/>
      <c r="I57" s="270"/>
      <c r="J57" s="325">
        <v>0.67135999999999996</v>
      </c>
      <c r="K57" s="269"/>
    </row>
    <row r="58" spans="1:11" x14ac:dyDescent="0.25">
      <c r="A58" s="114" t="s">
        <v>180</v>
      </c>
      <c r="B58" s="91">
        <f>B34*B37/100*B29</f>
        <v>0</v>
      </c>
      <c r="C58" s="83"/>
      <c r="D58" s="83"/>
      <c r="E58" s="83"/>
      <c r="G58" s="324" t="s">
        <v>137</v>
      </c>
      <c r="H58" s="266"/>
      <c r="I58" s="270"/>
      <c r="J58" s="325">
        <v>0.40322000000000002</v>
      </c>
      <c r="K58" s="269"/>
    </row>
    <row r="59" spans="1:11" x14ac:dyDescent="0.25">
      <c r="A59" s="114" t="s">
        <v>181</v>
      </c>
      <c r="B59" s="91">
        <f>B34*B38/100*B55/100*B29</f>
        <v>0</v>
      </c>
      <c r="G59" s="324" t="s">
        <v>138</v>
      </c>
      <c r="H59" s="266"/>
      <c r="I59" s="270"/>
      <c r="J59" s="325">
        <v>0.28555999999999998</v>
      </c>
      <c r="K59" s="269"/>
    </row>
    <row r="60" spans="1:11" ht="15.75" thickBot="1" x14ac:dyDescent="0.3">
      <c r="A60" s="114" t="s">
        <v>182</v>
      </c>
      <c r="B60" s="91">
        <f>B34*B39/100*B47/100*B29</f>
        <v>0</v>
      </c>
      <c r="G60" s="326" t="s">
        <v>139</v>
      </c>
      <c r="H60" s="327"/>
      <c r="I60" s="328"/>
      <c r="J60" s="329">
        <v>0.50041999999999998</v>
      </c>
      <c r="K60" s="269"/>
    </row>
    <row r="61" spans="1:11" ht="18" x14ac:dyDescent="0.35">
      <c r="A61" s="114" t="s">
        <v>183</v>
      </c>
      <c r="B61" s="91">
        <f>SUM(B58:B60)</f>
        <v>0</v>
      </c>
    </row>
    <row r="62" spans="1:11" x14ac:dyDescent="0.25">
      <c r="A62" s="114"/>
      <c r="B62" s="105"/>
    </row>
    <row r="63" spans="1:11" x14ac:dyDescent="0.25">
      <c r="A63" s="98" t="s">
        <v>184</v>
      </c>
      <c r="B63" s="67"/>
    </row>
    <row r="64" spans="1:11" ht="18" x14ac:dyDescent="0.35">
      <c r="A64" s="114" t="s">
        <v>185</v>
      </c>
      <c r="B64" s="397"/>
      <c r="D64" s="69" t="s">
        <v>202</v>
      </c>
    </row>
    <row r="65" spans="1:7" x14ac:dyDescent="0.25">
      <c r="A65" s="114" t="s">
        <v>186</v>
      </c>
      <c r="B65" s="398"/>
    </row>
    <row r="66" spans="1:7" x14ac:dyDescent="0.25">
      <c r="A66" s="114" t="s">
        <v>187</v>
      </c>
      <c r="B66" s="398"/>
    </row>
    <row r="67" spans="1:7" ht="18" x14ac:dyDescent="0.35">
      <c r="A67" s="114" t="s">
        <v>188</v>
      </c>
      <c r="B67" s="91">
        <f>B65*B64*1/1000</f>
        <v>0</v>
      </c>
      <c r="D67" s="265"/>
    </row>
    <row r="68" spans="1:7" ht="18" x14ac:dyDescent="0.35">
      <c r="A68" s="114" t="s">
        <v>189</v>
      </c>
      <c r="B68" s="91">
        <f>B66*B64*1/1000</f>
        <v>0</v>
      </c>
    </row>
    <row r="70" spans="1:7" x14ac:dyDescent="0.25">
      <c r="A70" s="69" t="s">
        <v>190</v>
      </c>
    </row>
    <row r="71" spans="1:7" x14ac:dyDescent="0.25">
      <c r="A71" s="65" t="s">
        <v>191</v>
      </c>
      <c r="B71" s="67">
        <f>B6*B8/100</f>
        <v>0</v>
      </c>
    </row>
    <row r="72" spans="1:7" x14ac:dyDescent="0.25">
      <c r="A72" s="65" t="s">
        <v>192</v>
      </c>
      <c r="B72" s="392"/>
    </row>
    <row r="73" spans="1:7" x14ac:dyDescent="0.25">
      <c r="A73" s="128" t="s">
        <v>193</v>
      </c>
      <c r="B73" s="103">
        <f>B72*'Data default'!B29/1000</f>
        <v>0</v>
      </c>
      <c r="G73" s="117"/>
    </row>
    <row r="74" spans="1:7" x14ac:dyDescent="0.25">
      <c r="A74" s="65" t="s">
        <v>194</v>
      </c>
      <c r="B74" s="67">
        <f>B30*B6</f>
        <v>0</v>
      </c>
    </row>
    <row r="75" spans="1:7" x14ac:dyDescent="0.25">
      <c r="A75" s="117" t="s">
        <v>195</v>
      </c>
      <c r="B75" s="392"/>
      <c r="D75" s="117"/>
    </row>
    <row r="76" spans="1:7" x14ac:dyDescent="0.25">
      <c r="A76" s="117" t="s">
        <v>196</v>
      </c>
      <c r="B76" s="392"/>
      <c r="G76" s="117"/>
    </row>
    <row r="77" spans="1:7" x14ac:dyDescent="0.25">
      <c r="A77" s="117" t="s">
        <v>197</v>
      </c>
      <c r="B77" s="392"/>
      <c r="G77" s="117"/>
    </row>
    <row r="78" spans="1:7" x14ac:dyDescent="0.25">
      <c r="A78" s="117" t="s">
        <v>198</v>
      </c>
      <c r="B78" s="392"/>
    </row>
    <row r="79" spans="1:7" x14ac:dyDescent="0.25">
      <c r="A79" s="117"/>
      <c r="B79" s="61" t="str">
        <f>IF(SUM(B75:B78)=100,"","WARNING!")</f>
        <v>WARNING!</v>
      </c>
    </row>
    <row r="80" spans="1:7" x14ac:dyDescent="0.25">
      <c r="A80" s="177" t="s">
        <v>199</v>
      </c>
      <c r="B80" s="141">
        <f>'Data default'!B31*1000*'Data default'!B32/100*'Data default'!B33/100</f>
        <v>1576.75</v>
      </c>
    </row>
    <row r="81" spans="1:2" x14ac:dyDescent="0.25">
      <c r="A81" s="128" t="s">
        <v>200</v>
      </c>
      <c r="B81" s="67">
        <f>(B75/100*B74)*B80*B64/3.6/1000</f>
        <v>0</v>
      </c>
    </row>
    <row r="85" spans="1:2" x14ac:dyDescent="0.25">
      <c r="A85" s="476" t="s">
        <v>480</v>
      </c>
    </row>
  </sheetData>
  <sheetProtection insertRows="0"/>
  <mergeCells count="2">
    <mergeCell ref="A2:G2"/>
    <mergeCell ref="G39:K40"/>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tint="-0.249977111117893"/>
  </sheetPr>
  <dimension ref="A1:M357"/>
  <sheetViews>
    <sheetView topLeftCell="A346" workbookViewId="0">
      <selection activeCell="A357" sqref="A357"/>
    </sheetView>
  </sheetViews>
  <sheetFormatPr defaultColWidth="9.140625" defaultRowHeight="15" x14ac:dyDescent="0.25"/>
  <cols>
    <col min="1" max="1" width="36.7109375" style="11" customWidth="1"/>
    <col min="2" max="2" width="12.28515625" style="11" customWidth="1"/>
    <col min="3" max="3" width="9.85546875" style="11" customWidth="1"/>
    <col min="4" max="4" width="9.140625" style="11" customWidth="1"/>
    <col min="5" max="5" width="11.42578125" style="11" customWidth="1"/>
    <col min="6" max="6" width="12.7109375" style="11" customWidth="1"/>
    <col min="7" max="7" width="10.28515625" style="11" customWidth="1"/>
    <col min="8" max="8" width="10.42578125" style="11" customWidth="1"/>
    <col min="9" max="11" width="9.85546875" style="11" customWidth="1"/>
    <col min="12" max="16384" width="9.140625" style="11"/>
  </cols>
  <sheetData>
    <row r="1" spans="1:13" x14ac:dyDescent="0.25">
      <c r="A1" s="58" t="s">
        <v>394</v>
      </c>
    </row>
    <row r="2" spans="1:13" x14ac:dyDescent="0.25">
      <c r="A2" s="8"/>
    </row>
    <row r="3" spans="1:13" ht="60" customHeight="1" x14ac:dyDescent="0.25">
      <c r="A3" s="467" t="s">
        <v>476</v>
      </c>
      <c r="B3" s="468"/>
      <c r="C3" s="468"/>
      <c r="D3" s="468"/>
      <c r="E3" s="468"/>
      <c r="F3" s="469"/>
      <c r="G3" s="97"/>
      <c r="H3" s="97"/>
      <c r="I3" s="97"/>
      <c r="J3" s="97"/>
      <c r="K3" s="97"/>
      <c r="L3" s="97"/>
      <c r="M3" s="97"/>
    </row>
    <row r="4" spans="1:13" x14ac:dyDescent="0.25">
      <c r="A4" s="32"/>
    </row>
    <row r="5" spans="1:13" ht="18" x14ac:dyDescent="0.35">
      <c r="A5" s="12" t="s">
        <v>50</v>
      </c>
      <c r="B5" s="13"/>
    </row>
    <row r="6" spans="1:13" ht="33" x14ac:dyDescent="0.35">
      <c r="A6" s="5" t="s">
        <v>395</v>
      </c>
      <c r="B6" s="135">
        <v>1.7770000000000001E-2</v>
      </c>
    </row>
    <row r="7" spans="1:13" ht="18" x14ac:dyDescent="0.35">
      <c r="A7" s="14" t="s">
        <v>396</v>
      </c>
      <c r="B7" s="136">
        <v>3.12</v>
      </c>
      <c r="H7" s="9"/>
      <c r="I7" s="9"/>
      <c r="J7" s="9"/>
      <c r="K7" s="9"/>
    </row>
    <row r="8" spans="1:13" ht="18" x14ac:dyDescent="0.35">
      <c r="A8" s="14" t="s">
        <v>397</v>
      </c>
      <c r="B8" s="136">
        <v>2.75</v>
      </c>
      <c r="H8" s="9"/>
      <c r="I8" s="9"/>
      <c r="J8" s="9"/>
      <c r="K8" s="9"/>
    </row>
    <row r="9" spans="1:13" ht="18" x14ac:dyDescent="0.35">
      <c r="A9" s="14" t="s">
        <v>398</v>
      </c>
      <c r="B9" s="46">
        <v>298</v>
      </c>
      <c r="H9" s="9"/>
      <c r="I9" s="9"/>
      <c r="J9" s="9"/>
      <c r="K9" s="9"/>
    </row>
    <row r="10" spans="1:13" ht="33" x14ac:dyDescent="0.25">
      <c r="A10" s="403" t="s">
        <v>399</v>
      </c>
      <c r="B10" s="47">
        <v>0.01</v>
      </c>
      <c r="H10" s="9"/>
      <c r="I10" s="20"/>
      <c r="J10" s="20"/>
      <c r="K10" s="20"/>
    </row>
    <row r="11" spans="1:13" ht="54.75" customHeight="1" x14ac:dyDescent="0.25">
      <c r="A11" s="39" t="s">
        <v>400</v>
      </c>
      <c r="B11" s="48">
        <v>7.4999999999999997E-3</v>
      </c>
      <c r="H11" s="9"/>
      <c r="I11" s="20"/>
      <c r="J11" s="20"/>
      <c r="K11" s="20"/>
    </row>
    <row r="12" spans="1:13" ht="38.25" customHeight="1" x14ac:dyDescent="0.25">
      <c r="A12" s="415" t="s">
        <v>477</v>
      </c>
      <c r="B12" s="47">
        <v>0.01</v>
      </c>
      <c r="H12" s="9"/>
      <c r="I12" s="20"/>
      <c r="J12" s="20"/>
      <c r="K12" s="20"/>
    </row>
    <row r="13" spans="1:13" ht="50.25" customHeight="1" x14ac:dyDescent="0.25">
      <c r="A13" s="403" t="s">
        <v>401</v>
      </c>
      <c r="B13" s="49">
        <v>16</v>
      </c>
      <c r="H13" s="9"/>
      <c r="I13" s="20"/>
      <c r="J13" s="20"/>
      <c r="K13" s="20"/>
    </row>
    <row r="14" spans="1:13" ht="18" x14ac:dyDescent="0.35">
      <c r="A14" s="14" t="s">
        <v>402</v>
      </c>
      <c r="B14" s="16">
        <f>2/20*B7</f>
        <v>0.31200000000000006</v>
      </c>
      <c r="H14" s="9"/>
      <c r="I14" s="20"/>
      <c r="J14" s="20"/>
      <c r="K14" s="20"/>
    </row>
    <row r="15" spans="1:13" x14ac:dyDescent="0.25">
      <c r="A15" s="405" t="s">
        <v>403</v>
      </c>
      <c r="B15" s="246">
        <v>0.2</v>
      </c>
      <c r="H15" s="9"/>
      <c r="I15" s="20"/>
      <c r="J15" s="20"/>
      <c r="K15" s="20"/>
    </row>
    <row r="16" spans="1:13" ht="30" x14ac:dyDescent="0.25">
      <c r="A16" s="14" t="s">
        <v>404</v>
      </c>
      <c r="B16" s="246">
        <v>0.13</v>
      </c>
      <c r="H16" s="9"/>
      <c r="I16" s="20"/>
      <c r="J16" s="20"/>
      <c r="K16" s="20"/>
    </row>
    <row r="17" spans="1:8" x14ac:dyDescent="0.25">
      <c r="A17" s="13"/>
      <c r="B17" s="15"/>
    </row>
    <row r="18" spans="1:8" ht="18" x14ac:dyDescent="0.35">
      <c r="A18" s="7" t="s">
        <v>11</v>
      </c>
      <c r="E18" s="417" t="s">
        <v>423</v>
      </c>
      <c r="F18" s="417"/>
      <c r="G18" s="18" t="s">
        <v>100</v>
      </c>
      <c r="H18" s="18" t="s">
        <v>107</v>
      </c>
    </row>
    <row r="19" spans="1:8" x14ac:dyDescent="0.25">
      <c r="A19" s="11" t="s">
        <v>13</v>
      </c>
      <c r="B19" s="50">
        <v>0.67249999999999999</v>
      </c>
      <c r="E19" s="470" t="s">
        <v>245</v>
      </c>
      <c r="F19" s="464"/>
      <c r="G19" s="50">
        <v>268</v>
      </c>
      <c r="H19" s="3">
        <f t="shared" ref="H19:H24" si="0">G19*44/12</f>
        <v>982.66666666666663</v>
      </c>
    </row>
    <row r="20" spans="1:8" ht="18" x14ac:dyDescent="0.35">
      <c r="A20" t="s">
        <v>68</v>
      </c>
      <c r="B20" s="50">
        <v>13.1</v>
      </c>
      <c r="E20" s="470" t="s">
        <v>246</v>
      </c>
      <c r="F20" s="464"/>
      <c r="G20" s="50">
        <v>128</v>
      </c>
      <c r="H20" s="3">
        <f t="shared" si="0"/>
        <v>469.33333333333331</v>
      </c>
    </row>
    <row r="21" spans="1:8" ht="18" x14ac:dyDescent="0.35">
      <c r="A21" s="405" t="s">
        <v>405</v>
      </c>
      <c r="B21" s="50">
        <v>22.25</v>
      </c>
      <c r="E21" s="470" t="s">
        <v>247</v>
      </c>
      <c r="F21" s="464"/>
      <c r="G21" s="50">
        <v>46</v>
      </c>
      <c r="H21" s="3">
        <f t="shared" si="0"/>
        <v>168.66666666666666</v>
      </c>
    </row>
    <row r="22" spans="1:8" x14ac:dyDescent="0.25">
      <c r="A22" s="11" t="s">
        <v>15</v>
      </c>
      <c r="B22" s="50">
        <v>0.22</v>
      </c>
      <c r="E22" s="470" t="s">
        <v>248</v>
      </c>
      <c r="F22" s="464"/>
      <c r="G22" s="50">
        <v>5</v>
      </c>
      <c r="H22" s="3">
        <f t="shared" si="0"/>
        <v>18.333333333333332</v>
      </c>
    </row>
    <row r="23" spans="1:8" ht="18" x14ac:dyDescent="0.35">
      <c r="A23" s="10" t="s">
        <v>406</v>
      </c>
      <c r="B23" s="51">
        <v>7.8</v>
      </c>
      <c r="E23" s="470" t="s">
        <v>249</v>
      </c>
      <c r="F23" s="464"/>
      <c r="G23" s="54">
        <v>75</v>
      </c>
      <c r="H23" s="3">
        <f t="shared" si="0"/>
        <v>275</v>
      </c>
    </row>
    <row r="24" spans="1:8" ht="33" x14ac:dyDescent="0.25">
      <c r="A24" s="5" t="s">
        <v>478</v>
      </c>
      <c r="B24" s="52">
        <v>15</v>
      </c>
      <c r="E24" s="470" t="s">
        <v>250</v>
      </c>
      <c r="F24" s="470"/>
      <c r="G24" s="50">
        <v>8.5</v>
      </c>
      <c r="H24" s="3">
        <f t="shared" si="0"/>
        <v>31.166666666666668</v>
      </c>
    </row>
    <row r="25" spans="1:8" ht="18" x14ac:dyDescent="0.35">
      <c r="A25" s="10" t="s">
        <v>407</v>
      </c>
      <c r="B25" s="52">
        <v>12</v>
      </c>
    </row>
    <row r="26" spans="1:8" ht="18" x14ac:dyDescent="0.35">
      <c r="A26" s="10" t="s">
        <v>408</v>
      </c>
      <c r="B26" s="51">
        <v>1.2</v>
      </c>
    </row>
    <row r="27" spans="1:8" x14ac:dyDescent="0.25">
      <c r="A27" s="10" t="s">
        <v>409</v>
      </c>
      <c r="B27" s="52">
        <v>40</v>
      </c>
    </row>
    <row r="28" spans="1:8" ht="18" x14ac:dyDescent="0.35">
      <c r="A28" s="10" t="s">
        <v>410</v>
      </c>
      <c r="B28" s="51">
        <v>45.1</v>
      </c>
      <c r="G28"/>
    </row>
    <row r="29" spans="1:8" ht="48" x14ac:dyDescent="0.35">
      <c r="A29" s="5" t="s">
        <v>479</v>
      </c>
      <c r="B29" s="52">
        <v>2200</v>
      </c>
    </row>
    <row r="30" spans="1:8" ht="18" x14ac:dyDescent="0.35">
      <c r="A30" s="5" t="s">
        <v>411</v>
      </c>
      <c r="B30" s="53">
        <v>0.17699999999999999</v>
      </c>
    </row>
    <row r="31" spans="1:8" ht="15.75" customHeight="1" x14ac:dyDescent="0.25">
      <c r="A31" s="177" t="s">
        <v>412</v>
      </c>
      <c r="B31" s="178">
        <v>5.3</v>
      </c>
    </row>
    <row r="32" spans="1:8" x14ac:dyDescent="0.25">
      <c r="A32" s="177" t="s">
        <v>413</v>
      </c>
      <c r="B32" s="179">
        <v>85</v>
      </c>
    </row>
    <row r="33" spans="1:12" x14ac:dyDescent="0.25">
      <c r="A33" s="177" t="s">
        <v>414</v>
      </c>
      <c r="B33" s="179">
        <v>35</v>
      </c>
    </row>
    <row r="34" spans="1:12" ht="30" x14ac:dyDescent="0.25">
      <c r="A34" s="177" t="s">
        <v>415</v>
      </c>
      <c r="B34" s="180">
        <v>0.08</v>
      </c>
    </row>
    <row r="35" spans="1:12" x14ac:dyDescent="0.25">
      <c r="A35" s="149" t="s">
        <v>416</v>
      </c>
      <c r="B35" s="181">
        <v>0.8</v>
      </c>
    </row>
    <row r="36" spans="1:12" ht="30" x14ac:dyDescent="0.25">
      <c r="A36" s="177" t="s">
        <v>417</v>
      </c>
      <c r="B36" s="181">
        <v>0.25</v>
      </c>
    </row>
    <row r="37" spans="1:12" x14ac:dyDescent="0.25">
      <c r="A37" s="149" t="s">
        <v>418</v>
      </c>
      <c r="B37" s="181">
        <v>0.89</v>
      </c>
    </row>
    <row r="38" spans="1:12" x14ac:dyDescent="0.25">
      <c r="A38" s="5"/>
      <c r="B38" s="31"/>
    </row>
    <row r="39" spans="1:12" ht="64.5" customHeight="1" x14ac:dyDescent="0.35">
      <c r="A39" s="17" t="s">
        <v>232</v>
      </c>
      <c r="B39" s="18" t="s">
        <v>12</v>
      </c>
      <c r="C39" s="35" t="s">
        <v>53</v>
      </c>
      <c r="D39" s="35" t="s">
        <v>54</v>
      </c>
      <c r="E39" s="35" t="s">
        <v>55</v>
      </c>
      <c r="F39" s="36" t="s">
        <v>424</v>
      </c>
      <c r="G39" s="36" t="s">
        <v>425</v>
      </c>
      <c r="I39" s="36" t="s">
        <v>426</v>
      </c>
      <c r="J39" s="36" t="s">
        <v>427</v>
      </c>
      <c r="K39" s="36" t="s">
        <v>428</v>
      </c>
      <c r="L39" s="36" t="s">
        <v>429</v>
      </c>
    </row>
    <row r="40" spans="1:12" x14ac:dyDescent="0.25">
      <c r="A40" s="11" t="s">
        <v>6</v>
      </c>
      <c r="B40" s="50">
        <v>34</v>
      </c>
      <c r="C40" s="50"/>
      <c r="D40" s="50"/>
      <c r="E40" s="50"/>
      <c r="F40" s="50">
        <v>10</v>
      </c>
      <c r="G40" s="52">
        <v>2380</v>
      </c>
      <c r="H40" s="2"/>
      <c r="I40" s="2">
        <f>1000*B40/100*'Data default'!B$10*1.57</f>
        <v>5.3380000000000001</v>
      </c>
      <c r="J40" s="2">
        <f>(1000*B40/100)*((B$62/100*B$11)+(F40/100*B$12))*1.57</f>
        <v>1.73485</v>
      </c>
      <c r="K40" s="2">
        <f>SUM(I40:J40)</f>
        <v>7.0728499999999999</v>
      </c>
      <c r="L40" s="29">
        <f>K40*B$9</f>
        <v>2107.7093</v>
      </c>
    </row>
    <row r="41" spans="1:12" x14ac:dyDescent="0.25">
      <c r="A41" t="s">
        <v>2</v>
      </c>
      <c r="B41" s="50">
        <v>21</v>
      </c>
      <c r="C41" s="50"/>
      <c r="D41" s="50"/>
      <c r="E41" s="50"/>
      <c r="F41" s="50">
        <v>10</v>
      </c>
      <c r="G41" s="52">
        <v>340</v>
      </c>
      <c r="H41" s="2"/>
      <c r="I41" s="2">
        <f>1000*B41/100*'Data default'!B$10*1.57</f>
        <v>3.2970000000000002</v>
      </c>
      <c r="J41" s="2">
        <f>(1000*B41/100)*((B$62/100*B$11)+(F41/100*B$12))*1.57</f>
        <v>1.0715250000000001</v>
      </c>
      <c r="K41" s="2">
        <f>SUM(I41:J41)</f>
        <v>4.368525</v>
      </c>
      <c r="L41" s="29">
        <f>K41*B$9</f>
        <v>1301.8204499999999</v>
      </c>
    </row>
    <row r="42" spans="1:12" x14ac:dyDescent="0.25">
      <c r="A42" s="11" t="s">
        <v>7</v>
      </c>
      <c r="B42" s="50">
        <v>18</v>
      </c>
      <c r="C42" s="50"/>
      <c r="D42" s="50"/>
      <c r="E42" s="50">
        <v>45</v>
      </c>
      <c r="F42" s="50">
        <v>10</v>
      </c>
      <c r="G42" s="52">
        <v>460</v>
      </c>
      <c r="H42" s="2"/>
      <c r="I42" s="2">
        <f>1000*B42/100*'Data default'!B$10*1.57</f>
        <v>2.8260000000000001</v>
      </c>
      <c r="J42" s="2">
        <f>(1000*B42/100)*((B$62/100*B$11)+(F42/100*B$12))*1.57</f>
        <v>0.91844999999999999</v>
      </c>
      <c r="K42" s="2">
        <f>SUM(I42:J42)</f>
        <v>3.7444500000000001</v>
      </c>
      <c r="L42" s="29">
        <f>K42*B$9</f>
        <v>1115.8461</v>
      </c>
    </row>
    <row r="43" spans="1:12" x14ac:dyDescent="0.25">
      <c r="A43" s="11" t="s">
        <v>3</v>
      </c>
      <c r="B43" s="50">
        <v>46</v>
      </c>
      <c r="C43" s="50"/>
      <c r="D43" s="50"/>
      <c r="E43" s="50"/>
      <c r="F43" s="50">
        <v>10</v>
      </c>
      <c r="G43" s="52">
        <v>1340</v>
      </c>
      <c r="H43" s="2"/>
      <c r="I43" s="2">
        <f>1000*B43/100*'Data default'!B$10*1.57</f>
        <v>7.2220000000000013</v>
      </c>
      <c r="J43" s="2">
        <f>(1000*B43/100)*((B$62/100*B$11)+(F43/100*B$12))*1.57</f>
        <v>2.3471500000000001</v>
      </c>
      <c r="K43" s="2">
        <f>SUM(I43:J43)</f>
        <v>9.5691500000000005</v>
      </c>
      <c r="L43" s="29">
        <f>K43*B$9</f>
        <v>2851.6067000000003</v>
      </c>
    </row>
    <row r="44" spans="1:12" x14ac:dyDescent="0.25">
      <c r="A44" s="11" t="s">
        <v>74</v>
      </c>
      <c r="B44" s="50">
        <v>26</v>
      </c>
      <c r="C44" s="50"/>
      <c r="D44" s="50"/>
      <c r="E44" s="50"/>
      <c r="F44" s="50">
        <v>10</v>
      </c>
      <c r="G44" s="52">
        <v>1040</v>
      </c>
      <c r="H44" s="2"/>
      <c r="I44" s="2">
        <f>1000*B44/100*'Data default'!B$10*1.57</f>
        <v>4.0820000000000007</v>
      </c>
      <c r="J44" s="2">
        <f>(1000*B44/100)*((B$62/100*B$11)+(F44/100*B$12))*1.57</f>
        <v>1.3266500000000001</v>
      </c>
      <c r="K44" s="2">
        <f>SUM(I44:J44)</f>
        <v>5.4086500000000006</v>
      </c>
      <c r="L44" s="29">
        <f>K44*B$9</f>
        <v>1611.7777000000001</v>
      </c>
    </row>
    <row r="45" spans="1:12" x14ac:dyDescent="0.25">
      <c r="A45" s="11" t="s">
        <v>31</v>
      </c>
      <c r="B45" s="41"/>
      <c r="C45" s="50">
        <v>27</v>
      </c>
      <c r="D45" s="50"/>
      <c r="E45" s="50"/>
      <c r="F45" s="50"/>
      <c r="G45" s="52">
        <v>200</v>
      </c>
      <c r="H45" s="2"/>
      <c r="I45" s="2"/>
      <c r="J45" s="2"/>
      <c r="K45" s="2"/>
      <c r="L45" s="29"/>
    </row>
    <row r="46" spans="1:12" x14ac:dyDescent="0.25">
      <c r="A46" s="11" t="s">
        <v>5</v>
      </c>
      <c r="B46" s="41"/>
      <c r="C46" s="50"/>
      <c r="D46" s="50">
        <v>60</v>
      </c>
      <c r="E46" s="50"/>
      <c r="F46" s="50"/>
      <c r="G46" s="52">
        <v>200</v>
      </c>
      <c r="H46" s="2"/>
      <c r="I46" s="2"/>
      <c r="J46" s="2"/>
      <c r="K46" s="2"/>
      <c r="L46" s="29"/>
    </row>
    <row r="47" spans="1:12" x14ac:dyDescent="0.25">
      <c r="A47" s="11" t="s">
        <v>4</v>
      </c>
      <c r="B47" s="41"/>
      <c r="C47" s="50"/>
      <c r="D47" s="50"/>
      <c r="E47" s="50">
        <v>34</v>
      </c>
      <c r="F47" s="50"/>
      <c r="G47" s="52">
        <v>44</v>
      </c>
      <c r="H47" s="2"/>
      <c r="I47" s="2"/>
      <c r="J47" s="2"/>
      <c r="K47" s="2"/>
      <c r="L47" s="29"/>
    </row>
    <row r="48" spans="1:12" x14ac:dyDescent="0.25">
      <c r="A48" s="11" t="s">
        <v>40</v>
      </c>
      <c r="B48" s="41"/>
      <c r="C48" s="50"/>
      <c r="D48" s="50"/>
      <c r="E48" s="50">
        <v>45</v>
      </c>
      <c r="F48" s="50"/>
      <c r="G48" s="52">
        <v>170</v>
      </c>
      <c r="H48" s="2"/>
      <c r="I48" s="2"/>
      <c r="J48" s="2"/>
      <c r="K48" s="2"/>
      <c r="L48" s="29"/>
    </row>
    <row r="49" spans="1:12" x14ac:dyDescent="0.25">
      <c r="A49" s="11" t="s">
        <v>41</v>
      </c>
      <c r="B49" s="41"/>
      <c r="C49" s="50">
        <v>15</v>
      </c>
      <c r="D49" s="50"/>
      <c r="E49" s="50"/>
      <c r="F49" s="50"/>
      <c r="G49" s="52">
        <v>547</v>
      </c>
      <c r="H49" s="2"/>
      <c r="I49" s="2"/>
      <c r="J49" s="2"/>
      <c r="K49" s="2"/>
      <c r="L49" s="29"/>
    </row>
    <row r="50" spans="1:12" s="272" customFormat="1" x14ac:dyDescent="0.25">
      <c r="A50" s="288">
        <f>'5. Pupuk pilihan pengguna'!C6</f>
        <v>0</v>
      </c>
      <c r="B50" s="289">
        <f>'5. Pupuk pilihan pengguna'!C11</f>
        <v>0</v>
      </c>
      <c r="C50" s="289"/>
      <c r="D50" s="289">
        <f>'5. Pupuk pilihan pengguna'!C15</f>
        <v>0</v>
      </c>
      <c r="E50" s="289">
        <f>'5. Pupuk pilihan pengguna'!C13</f>
        <v>0</v>
      </c>
      <c r="F50" s="232">
        <v>10</v>
      </c>
      <c r="G50" s="208">
        <f>'5. Pupuk pilihan pengguna'!C34</f>
        <v>0</v>
      </c>
      <c r="H50" s="229"/>
      <c r="I50" s="230">
        <f>1000*B50/100*'Data default'!B$10*1.57</f>
        <v>0</v>
      </c>
      <c r="J50" s="230">
        <f t="shared" ref="J50:J59" si="1">(1000*B50/100)*((B$62/100*B$11)+(F50/100*B$12))*1.57</f>
        <v>0</v>
      </c>
      <c r="K50" s="230">
        <f t="shared" ref="K50:K59" si="2">SUM(I50:J50)</f>
        <v>0</v>
      </c>
      <c r="L50" s="231">
        <f t="shared" ref="L50:L59" si="3">K50*B$9</f>
        <v>0</v>
      </c>
    </row>
    <row r="51" spans="1:12" s="272" customFormat="1" x14ac:dyDescent="0.25">
      <c r="A51" s="288">
        <f>'5. Pupuk pilihan pengguna'!C37</f>
        <v>0</v>
      </c>
      <c r="B51" s="291">
        <f>'5. Pupuk pilihan pengguna'!C42</f>
        <v>0</v>
      </c>
      <c r="C51" s="291"/>
      <c r="D51" s="291">
        <f>'5. Pupuk pilihan pengguna'!C46</f>
        <v>0</v>
      </c>
      <c r="E51" s="291">
        <f>'5. Pupuk pilihan pengguna'!C44</f>
        <v>0</v>
      </c>
      <c r="F51" s="232">
        <v>10</v>
      </c>
      <c r="G51" s="208">
        <f>'5. Pupuk pilihan pengguna'!C60</f>
        <v>0</v>
      </c>
      <c r="H51" s="2"/>
      <c r="I51" s="230">
        <f>1000*B51/100*'Data default'!B$10*1.57</f>
        <v>0</v>
      </c>
      <c r="J51" s="230">
        <f t="shared" si="1"/>
        <v>0</v>
      </c>
      <c r="K51" s="230">
        <f t="shared" si="2"/>
        <v>0</v>
      </c>
      <c r="L51" s="231">
        <f t="shared" si="3"/>
        <v>0</v>
      </c>
    </row>
    <row r="52" spans="1:12" s="272" customFormat="1" x14ac:dyDescent="0.25">
      <c r="A52" s="288">
        <f>'5. Pupuk pilihan pengguna'!C63</f>
        <v>0</v>
      </c>
      <c r="B52" s="291">
        <f>'5. Pupuk pilihan pengguna'!C68</f>
        <v>0</v>
      </c>
      <c r="C52" s="290"/>
      <c r="D52" s="291">
        <f>'5. Pupuk pilihan pengguna'!C72</f>
        <v>0</v>
      </c>
      <c r="E52" s="291">
        <f>'5. Pupuk pilihan pengguna'!C70</f>
        <v>0</v>
      </c>
      <c r="F52" s="232">
        <v>10</v>
      </c>
      <c r="G52" s="208">
        <f>'5. Pupuk pilihan pengguna'!C86</f>
        <v>0</v>
      </c>
      <c r="H52" s="2"/>
      <c r="I52" s="230">
        <f>1000*B52/100*'Data default'!B$10*1.57</f>
        <v>0</v>
      </c>
      <c r="J52" s="230">
        <f t="shared" si="1"/>
        <v>0</v>
      </c>
      <c r="K52" s="230">
        <f t="shared" si="2"/>
        <v>0</v>
      </c>
      <c r="L52" s="231">
        <f t="shared" si="3"/>
        <v>0</v>
      </c>
    </row>
    <row r="53" spans="1:12" s="272" customFormat="1" x14ac:dyDescent="0.25">
      <c r="A53" s="288">
        <f>'5. Pupuk pilihan pengguna'!C89</f>
        <v>0</v>
      </c>
      <c r="B53" s="291">
        <f>'5. Pupuk pilihan pengguna'!C94</f>
        <v>0</v>
      </c>
      <c r="C53" s="290"/>
      <c r="D53" s="291">
        <f>'5. Pupuk pilihan pengguna'!C98</f>
        <v>0</v>
      </c>
      <c r="E53" s="291">
        <f>'5. Pupuk pilihan pengguna'!C96</f>
        <v>0</v>
      </c>
      <c r="F53" s="232">
        <v>10</v>
      </c>
      <c r="G53" s="208">
        <f>'5. Pupuk pilihan pengguna'!C112</f>
        <v>0</v>
      </c>
      <c r="H53" s="2"/>
      <c r="I53" s="230">
        <f>1000*B53/100*'Data default'!B$10*1.57</f>
        <v>0</v>
      </c>
      <c r="J53" s="230">
        <f t="shared" si="1"/>
        <v>0</v>
      </c>
      <c r="K53" s="230">
        <f t="shared" si="2"/>
        <v>0</v>
      </c>
      <c r="L53" s="231">
        <f t="shared" si="3"/>
        <v>0</v>
      </c>
    </row>
    <row r="54" spans="1:12" s="272" customFormat="1" x14ac:dyDescent="0.25">
      <c r="A54" s="288">
        <f>'5. Pupuk pilihan pengguna'!C115</f>
        <v>0</v>
      </c>
      <c r="B54" s="291">
        <f>'5. Pupuk pilihan pengguna'!C120</f>
        <v>0</v>
      </c>
      <c r="C54" s="290"/>
      <c r="D54" s="291">
        <f>'5. Pupuk pilihan pengguna'!C124</f>
        <v>0</v>
      </c>
      <c r="E54" s="291">
        <f>'5. Pupuk pilihan pengguna'!C122</f>
        <v>0</v>
      </c>
      <c r="F54" s="232">
        <v>10</v>
      </c>
      <c r="G54" s="208">
        <f>'5. Pupuk pilihan pengguna'!C138</f>
        <v>0</v>
      </c>
      <c r="H54" s="2"/>
      <c r="I54" s="230">
        <f>1000*B54/100*'Data default'!B$10*1.57</f>
        <v>0</v>
      </c>
      <c r="J54" s="230">
        <f t="shared" si="1"/>
        <v>0</v>
      </c>
      <c r="K54" s="230">
        <f t="shared" si="2"/>
        <v>0</v>
      </c>
      <c r="L54" s="231">
        <f t="shared" si="3"/>
        <v>0</v>
      </c>
    </row>
    <row r="55" spans="1:12" x14ac:dyDescent="0.25">
      <c r="A55" s="288" t="str">
        <f>'5. Pupuk pilihan pengguna'!C141</f>
        <v>Pilihan pengguna 6</v>
      </c>
      <c r="B55" s="291">
        <f>'5. Pupuk pilihan pengguna'!C146</f>
        <v>3</v>
      </c>
      <c r="C55" s="289"/>
      <c r="D55" s="291">
        <f>'5. Pupuk pilihan pengguna'!C150</f>
        <v>3</v>
      </c>
      <c r="E55" s="291">
        <f>'5. Pupuk pilihan pengguna'!C148</f>
        <v>3</v>
      </c>
      <c r="F55" s="232">
        <v>10</v>
      </c>
      <c r="G55" s="208">
        <f>'5. Pupuk pilihan pengguna'!C164</f>
        <v>212.5</v>
      </c>
      <c r="H55" s="229"/>
      <c r="I55" s="230">
        <f>1000*B55/100*'Data default'!B$10*1.57</f>
        <v>0.47099999999999997</v>
      </c>
      <c r="J55" s="230">
        <f t="shared" si="1"/>
        <v>0.15307499999999999</v>
      </c>
      <c r="K55" s="230">
        <f t="shared" si="2"/>
        <v>0.62407499999999994</v>
      </c>
      <c r="L55" s="231">
        <f t="shared" si="3"/>
        <v>185.97434999999999</v>
      </c>
    </row>
    <row r="56" spans="1:12" x14ac:dyDescent="0.25">
      <c r="A56" s="288" t="str">
        <f>'5. Pupuk pilihan pengguna'!C167</f>
        <v>Pilihan pengguna 7</v>
      </c>
      <c r="B56" s="291">
        <f>'5. Pupuk pilihan pengguna'!C172</f>
        <v>3</v>
      </c>
      <c r="C56" s="290"/>
      <c r="D56" s="291">
        <f>'5. Pupuk pilihan pengguna'!C176</f>
        <v>3</v>
      </c>
      <c r="E56" s="291">
        <f>'5. Pupuk pilihan pengguna'!C174</f>
        <v>3</v>
      </c>
      <c r="F56" s="232">
        <v>10</v>
      </c>
      <c r="G56" s="208">
        <f>'5. Pupuk pilihan pengguna'!C190</f>
        <v>212.5</v>
      </c>
      <c r="H56" s="2"/>
      <c r="I56" s="230">
        <f>1000*B56/100*'Data default'!B$10*1.57</f>
        <v>0.47099999999999997</v>
      </c>
      <c r="J56" s="230">
        <f t="shared" si="1"/>
        <v>0.15307499999999999</v>
      </c>
      <c r="K56" s="230">
        <f t="shared" si="2"/>
        <v>0.62407499999999994</v>
      </c>
      <c r="L56" s="231">
        <f t="shared" si="3"/>
        <v>185.97434999999999</v>
      </c>
    </row>
    <row r="57" spans="1:12" x14ac:dyDescent="0.25">
      <c r="A57" s="288" t="str">
        <f>'5. Pupuk pilihan pengguna'!C193</f>
        <v>Pilihan pengguna 8</v>
      </c>
      <c r="B57" s="291">
        <f>'5. Pupuk pilihan pengguna'!C198</f>
        <v>3</v>
      </c>
      <c r="C57" s="290"/>
      <c r="D57" s="291">
        <f>'5. Pupuk pilihan pengguna'!C202</f>
        <v>3</v>
      </c>
      <c r="E57" s="291">
        <f>'5. Pupuk pilihan pengguna'!C200</f>
        <v>3</v>
      </c>
      <c r="F57" s="232">
        <v>10</v>
      </c>
      <c r="G57" s="208">
        <f>'5. Pupuk pilihan pengguna'!C216</f>
        <v>212.5</v>
      </c>
      <c r="H57" s="2"/>
      <c r="I57" s="230">
        <f>1000*B57/100*'Data default'!B$10*1.57</f>
        <v>0.47099999999999997</v>
      </c>
      <c r="J57" s="230">
        <f t="shared" si="1"/>
        <v>0.15307499999999999</v>
      </c>
      <c r="K57" s="230">
        <f t="shared" si="2"/>
        <v>0.62407499999999994</v>
      </c>
      <c r="L57" s="231">
        <f t="shared" si="3"/>
        <v>185.97434999999999</v>
      </c>
    </row>
    <row r="58" spans="1:12" x14ac:dyDescent="0.25">
      <c r="A58" s="288" t="str">
        <f>'5. Pupuk pilihan pengguna'!C219</f>
        <v>Pilihan pengguna 9</v>
      </c>
      <c r="B58" s="291">
        <f>'5. Pupuk pilihan pengguna'!C224</f>
        <v>3</v>
      </c>
      <c r="C58" s="290"/>
      <c r="D58" s="291">
        <f>'5. Pupuk pilihan pengguna'!C228</f>
        <v>3</v>
      </c>
      <c r="E58" s="291">
        <f>'5. Pupuk pilihan pengguna'!C226</f>
        <v>3</v>
      </c>
      <c r="F58" s="232">
        <v>10</v>
      </c>
      <c r="G58" s="208">
        <f>'5. Pupuk pilihan pengguna'!C242</f>
        <v>212.5</v>
      </c>
      <c r="H58" s="2"/>
      <c r="I58" s="230">
        <f>1000*B58/100*'Data default'!B$10*1.57</f>
        <v>0.47099999999999997</v>
      </c>
      <c r="J58" s="230">
        <f t="shared" si="1"/>
        <v>0.15307499999999999</v>
      </c>
      <c r="K58" s="230">
        <f t="shared" si="2"/>
        <v>0.62407499999999994</v>
      </c>
      <c r="L58" s="231">
        <f t="shared" si="3"/>
        <v>185.97434999999999</v>
      </c>
    </row>
    <row r="59" spans="1:12" x14ac:dyDescent="0.25">
      <c r="A59" s="288" t="str">
        <f>'5. Pupuk pilihan pengguna'!C245</f>
        <v>Pilihan pengguna 10</v>
      </c>
      <c r="B59" s="291">
        <f>'5. Pupuk pilihan pengguna'!C250</f>
        <v>3</v>
      </c>
      <c r="C59" s="290"/>
      <c r="D59" s="291">
        <f>'5. Pupuk pilihan pengguna'!C254</f>
        <v>3</v>
      </c>
      <c r="E59" s="291">
        <f>'5. Pupuk pilihan pengguna'!C252</f>
        <v>3</v>
      </c>
      <c r="F59" s="232">
        <v>10</v>
      </c>
      <c r="G59" s="208">
        <f>'5. Pupuk pilihan pengguna'!C268</f>
        <v>212.5</v>
      </c>
      <c r="H59" s="2"/>
      <c r="I59" s="230">
        <f>1000*B59/100*'Data default'!B$10*1.57</f>
        <v>0.47099999999999997</v>
      </c>
      <c r="J59" s="230">
        <f t="shared" si="1"/>
        <v>0.15307499999999999</v>
      </c>
      <c r="K59" s="230">
        <f t="shared" si="2"/>
        <v>0.62407499999999994</v>
      </c>
      <c r="L59" s="231">
        <f t="shared" si="3"/>
        <v>185.97434999999999</v>
      </c>
    </row>
    <row r="60" spans="1:12" x14ac:dyDescent="0.25">
      <c r="A60" s="11" t="s">
        <v>8</v>
      </c>
      <c r="B60" s="50">
        <v>0.32</v>
      </c>
      <c r="C60" s="50"/>
      <c r="D60" s="50"/>
      <c r="E60" s="50"/>
      <c r="F60" s="50">
        <v>20</v>
      </c>
      <c r="G60" s="50"/>
      <c r="H60" s="2"/>
      <c r="I60" s="2"/>
      <c r="J60" s="2"/>
      <c r="K60" s="2"/>
      <c r="L60" s="29"/>
    </row>
    <row r="61" spans="1:12" x14ac:dyDescent="0.25">
      <c r="A61" s="11" t="s">
        <v>10</v>
      </c>
      <c r="B61" s="50">
        <v>4.4999999999999998E-2</v>
      </c>
      <c r="C61" s="50"/>
      <c r="D61" s="50"/>
      <c r="E61" s="50"/>
      <c r="F61" s="50">
        <v>20</v>
      </c>
      <c r="G61" s="50"/>
      <c r="H61" s="2"/>
      <c r="I61" s="2"/>
      <c r="J61" s="2"/>
      <c r="K61" s="2"/>
      <c r="L61" s="29"/>
    </row>
    <row r="62" spans="1:12" ht="30" x14ac:dyDescent="0.25">
      <c r="A62" s="403" t="s">
        <v>419</v>
      </c>
      <c r="B62" s="50">
        <v>30</v>
      </c>
      <c r="C62" s="50"/>
      <c r="D62" s="41"/>
      <c r="E62" s="41"/>
      <c r="F62" s="41"/>
      <c r="G62" s="41"/>
    </row>
    <row r="63" spans="1:12" x14ac:dyDescent="0.25">
      <c r="B63" s="6"/>
    </row>
    <row r="64" spans="1:12" x14ac:dyDescent="0.25">
      <c r="A64" s="182" t="s">
        <v>420</v>
      </c>
      <c r="B64"/>
      <c r="C64"/>
    </row>
    <row r="65" spans="1:6" x14ac:dyDescent="0.25">
      <c r="A65"/>
      <c r="B65"/>
      <c r="C65"/>
    </row>
    <row r="66" spans="1:6" ht="27.75" customHeight="1" x14ac:dyDescent="0.25">
      <c r="A66"/>
      <c r="B66" s="35" t="s">
        <v>99</v>
      </c>
      <c r="C66" s="471" t="s">
        <v>421</v>
      </c>
      <c r="D66" s="471"/>
    </row>
    <row r="67" spans="1:6" x14ac:dyDescent="0.25">
      <c r="A67" s="405" t="s">
        <v>314</v>
      </c>
      <c r="B67" s="183">
        <v>3.3</v>
      </c>
      <c r="C67" s="464">
        <f>IF('5. Pupuk pilihan pengguna'!E11="Y",B67,)</f>
        <v>0</v>
      </c>
      <c r="D67" s="464"/>
    </row>
    <row r="68" spans="1:6" x14ac:dyDescent="0.25">
      <c r="A68" s="408" t="s">
        <v>315</v>
      </c>
      <c r="B68">
        <v>8.5</v>
      </c>
      <c r="C68" s="464">
        <f>IF('5. Pupuk pilihan pengguna'!F11="Y",B68,)</f>
        <v>0</v>
      </c>
      <c r="D68" s="464"/>
    </row>
    <row r="69" spans="1:6" x14ac:dyDescent="0.25">
      <c r="A69" s="408" t="s">
        <v>316</v>
      </c>
      <c r="B69">
        <v>2.7</v>
      </c>
      <c r="C69" s="464">
        <f>IF('5. Pupuk pilihan pengguna'!G11="Y",B69,)</f>
        <v>0</v>
      </c>
      <c r="D69" s="464"/>
    </row>
    <row r="70" spans="1:6" x14ac:dyDescent="0.25">
      <c r="A70" s="408" t="s">
        <v>317</v>
      </c>
      <c r="B70">
        <v>1</v>
      </c>
      <c r="C70" s="464">
        <f>IF('5. Pupuk pilihan pengguna'!H11="Y",B70,)</f>
        <v>0</v>
      </c>
      <c r="D70" s="464"/>
    </row>
    <row r="71" spans="1:6" x14ac:dyDescent="0.25">
      <c r="A71" s="408" t="s">
        <v>318</v>
      </c>
      <c r="B71">
        <v>7</v>
      </c>
      <c r="C71" s="464">
        <f>IF('5. Pupuk pilihan pengguna'!I11="Y",B71,)</f>
        <v>0</v>
      </c>
      <c r="D71" s="464"/>
    </row>
    <row r="72" spans="1:6" x14ac:dyDescent="0.25">
      <c r="A72" s="408" t="s">
        <v>432</v>
      </c>
      <c r="B72">
        <f>AVERAGE(B67:B71)</f>
        <v>4.5</v>
      </c>
      <c r="C72" s="464">
        <f>SUM(C67:D71)</f>
        <v>0</v>
      </c>
      <c r="D72" s="464"/>
    </row>
    <row r="73" spans="1:6" x14ac:dyDescent="0.25">
      <c r="A73"/>
      <c r="B73"/>
      <c r="C73" s="462">
        <f>IF(C72=0, B72, C72)</f>
        <v>4.5</v>
      </c>
      <c r="D73" s="462"/>
      <c r="F73" s="251"/>
    </row>
    <row r="74" spans="1:6" x14ac:dyDescent="0.25">
      <c r="A74"/>
      <c r="B74"/>
      <c r="C74" s="463"/>
      <c r="D74" s="463"/>
    </row>
    <row r="75" spans="1:6" x14ac:dyDescent="0.25">
      <c r="A75" s="408" t="s">
        <v>319</v>
      </c>
      <c r="B75">
        <v>2.7</v>
      </c>
      <c r="C75" s="464">
        <f>IF('5. Pupuk pilihan pengguna'!E13="Y",B75,)</f>
        <v>0</v>
      </c>
      <c r="D75" s="464"/>
    </row>
    <row r="76" spans="1:6" x14ac:dyDescent="0.25">
      <c r="A76" s="408" t="s">
        <v>320</v>
      </c>
      <c r="B76">
        <v>2</v>
      </c>
      <c r="C76" s="464">
        <f>IF('5. Pupuk pilihan pengguna'!F13="Y",B76,)</f>
        <v>0</v>
      </c>
      <c r="D76" s="464"/>
    </row>
    <row r="77" spans="1:6" x14ac:dyDescent="0.25">
      <c r="A77" s="408" t="s">
        <v>433</v>
      </c>
      <c r="B77">
        <v>0.2</v>
      </c>
      <c r="C77" s="464">
        <f>IF('5. Pupuk pilihan pengguna'!G13="Y",B77,)</f>
        <v>0</v>
      </c>
      <c r="D77" s="464"/>
    </row>
    <row r="78" spans="1:6" x14ac:dyDescent="0.25">
      <c r="A78" s="408" t="s">
        <v>434</v>
      </c>
      <c r="B78" s="183">
        <f>AVERAGE(B75:B77)</f>
        <v>1.6333333333333335</v>
      </c>
      <c r="C78" s="464">
        <f>SUM(C75:D77)</f>
        <v>0</v>
      </c>
      <c r="D78" s="464"/>
    </row>
    <row r="79" spans="1:6" x14ac:dyDescent="0.25">
      <c r="A79"/>
      <c r="B79"/>
      <c r="C79" s="462">
        <f>IF(C78=0, B78, C78)</f>
        <v>1.6333333333333335</v>
      </c>
      <c r="D79" s="462"/>
    </row>
    <row r="80" spans="1:6" x14ac:dyDescent="0.25">
      <c r="A80"/>
      <c r="B80"/>
      <c r="C80" s="463"/>
      <c r="D80" s="463"/>
    </row>
    <row r="81" spans="1:4" x14ac:dyDescent="0.25">
      <c r="A81" s="408" t="s">
        <v>323</v>
      </c>
      <c r="B81">
        <v>0.5</v>
      </c>
      <c r="C81" s="464">
        <f>IF('5. Pupuk pilihan pengguna'!E$15="Y",B81,)</f>
        <v>0</v>
      </c>
      <c r="D81" s="464"/>
    </row>
    <row r="82" spans="1:4" x14ac:dyDescent="0.25">
      <c r="A82" s="408" t="s">
        <v>322</v>
      </c>
      <c r="B82">
        <v>1.4</v>
      </c>
      <c r="C82" s="464">
        <f>IF('5. Pupuk pilihan pengguna'!F$15="Y",B82,)</f>
        <v>0</v>
      </c>
      <c r="D82" s="464"/>
    </row>
    <row r="83" spans="1:4" x14ac:dyDescent="0.25">
      <c r="A83" s="408" t="s">
        <v>435</v>
      </c>
      <c r="B83" s="183">
        <f>AVERAGE(B81:B82)</f>
        <v>0.95</v>
      </c>
      <c r="C83" s="464">
        <f>SUM(C81:D82)</f>
        <v>0</v>
      </c>
      <c r="D83" s="464"/>
    </row>
    <row r="84" spans="1:4" x14ac:dyDescent="0.25">
      <c r="A84"/>
      <c r="B84"/>
      <c r="C84" s="465">
        <f>IF(C83=0, B83, C83)</f>
        <v>0.95</v>
      </c>
      <c r="D84" s="465"/>
    </row>
    <row r="85" spans="1:4" x14ac:dyDescent="0.25">
      <c r="A85"/>
      <c r="B85"/>
      <c r="C85" s="463"/>
      <c r="D85" s="463"/>
    </row>
    <row r="86" spans="1:4" x14ac:dyDescent="0.25">
      <c r="A86" s="408" t="s">
        <v>436</v>
      </c>
      <c r="B86"/>
      <c r="C86" s="465">
        <v>0.9</v>
      </c>
      <c r="D86" s="465"/>
    </row>
    <row r="87" spans="1:4" x14ac:dyDescent="0.25">
      <c r="A87" s="408" t="s">
        <v>437</v>
      </c>
      <c r="B87"/>
      <c r="C87" s="465">
        <v>1</v>
      </c>
      <c r="D87" s="465"/>
    </row>
    <row r="88" spans="1:4" x14ac:dyDescent="0.25">
      <c r="A88" s="405" t="s">
        <v>422</v>
      </c>
      <c r="B88"/>
      <c r="C88" s="465"/>
      <c r="D88" s="465"/>
    </row>
    <row r="89" spans="1:4" x14ac:dyDescent="0.25">
      <c r="A89" s="408" t="s">
        <v>438</v>
      </c>
      <c r="B89"/>
      <c r="C89" s="465">
        <v>1.9</v>
      </c>
      <c r="D89" s="465"/>
    </row>
    <row r="90" spans="1:4" x14ac:dyDescent="0.25">
      <c r="A90" s="408" t="s">
        <v>439</v>
      </c>
      <c r="B90"/>
      <c r="C90" s="465">
        <v>0.2</v>
      </c>
      <c r="D90" s="465"/>
    </row>
    <row r="91" spans="1:4" x14ac:dyDescent="0.25">
      <c r="A91" s="408" t="s">
        <v>440</v>
      </c>
      <c r="B91"/>
      <c r="C91" s="465">
        <v>1.8</v>
      </c>
      <c r="D91" s="465"/>
    </row>
    <row r="92" spans="1:4" x14ac:dyDescent="0.25">
      <c r="A92" s="408" t="s">
        <v>441</v>
      </c>
      <c r="B92"/>
      <c r="C92" s="465">
        <v>2.9</v>
      </c>
      <c r="D92" s="465"/>
    </row>
    <row r="93" spans="1:4" x14ac:dyDescent="0.25">
      <c r="B93" s="6"/>
    </row>
    <row r="94" spans="1:4" x14ac:dyDescent="0.25">
      <c r="A94" s="406" t="s">
        <v>430</v>
      </c>
    </row>
    <row r="96" spans="1:4" ht="15" customHeight="1" x14ac:dyDescent="0.25">
      <c r="A96" s="408" t="s">
        <v>431</v>
      </c>
      <c r="B96" s="277"/>
      <c r="C96" s="277"/>
      <c r="D96" s="276"/>
    </row>
    <row r="97" spans="1:4" ht="15" customHeight="1" x14ac:dyDescent="0.25">
      <c r="A97" s="277"/>
      <c r="B97" s="35" t="s">
        <v>99</v>
      </c>
      <c r="C97" s="466" t="s">
        <v>421</v>
      </c>
      <c r="D97" s="466"/>
    </row>
    <row r="98" spans="1:4" ht="15" customHeight="1" x14ac:dyDescent="0.25">
      <c r="A98" s="408" t="s">
        <v>314</v>
      </c>
      <c r="B98" s="183">
        <v>3.3</v>
      </c>
      <c r="C98" s="464">
        <f>IF('5. Pupuk pilihan pengguna'!E42="Y",B98,)</f>
        <v>0</v>
      </c>
      <c r="D98" s="464"/>
    </row>
    <row r="99" spans="1:4" ht="15" customHeight="1" x14ac:dyDescent="0.25">
      <c r="A99" s="408" t="s">
        <v>315</v>
      </c>
      <c r="B99" s="277">
        <v>8.5</v>
      </c>
      <c r="C99" s="464">
        <f>IF('5. Pupuk pilihan pengguna'!F42="Y",B99,)</f>
        <v>0</v>
      </c>
      <c r="D99" s="464"/>
    </row>
    <row r="100" spans="1:4" ht="15" customHeight="1" x14ac:dyDescent="0.25">
      <c r="A100" s="408" t="s">
        <v>316</v>
      </c>
      <c r="B100" s="277">
        <v>2.7</v>
      </c>
      <c r="C100" s="464">
        <f>IF('5. Pupuk pilihan pengguna'!G42="Y",B100,)</f>
        <v>0</v>
      </c>
      <c r="D100" s="464"/>
    </row>
    <row r="101" spans="1:4" ht="15" customHeight="1" x14ac:dyDescent="0.25">
      <c r="A101" s="408" t="s">
        <v>317</v>
      </c>
      <c r="B101" s="277">
        <v>1</v>
      </c>
      <c r="C101" s="464">
        <f>IF('5. Pupuk pilihan pengguna'!H42="Y",B101,)</f>
        <v>0</v>
      </c>
      <c r="D101" s="464"/>
    </row>
    <row r="102" spans="1:4" ht="15" customHeight="1" x14ac:dyDescent="0.25">
      <c r="A102" s="408" t="s">
        <v>318</v>
      </c>
      <c r="B102" s="277">
        <v>7</v>
      </c>
      <c r="C102" s="464">
        <f>IF('5. Pupuk pilihan pengguna'!I42="Y",B102,)</f>
        <v>0</v>
      </c>
      <c r="D102" s="464"/>
    </row>
    <row r="103" spans="1:4" ht="15" customHeight="1" x14ac:dyDescent="0.25">
      <c r="A103" s="408" t="s">
        <v>432</v>
      </c>
      <c r="B103" s="277">
        <f>AVERAGE(B98:B102)</f>
        <v>4.5</v>
      </c>
      <c r="C103" s="464">
        <f>SUM(C98:D102)</f>
        <v>0</v>
      </c>
      <c r="D103" s="464"/>
    </row>
    <row r="104" spans="1:4" ht="15" customHeight="1" x14ac:dyDescent="0.25">
      <c r="A104" s="277"/>
      <c r="B104" s="277"/>
      <c r="C104" s="462">
        <f>IF(C103=0, B103, C103)</f>
        <v>4.5</v>
      </c>
      <c r="D104" s="462"/>
    </row>
    <row r="105" spans="1:4" ht="15" customHeight="1" x14ac:dyDescent="0.25">
      <c r="A105" s="277"/>
      <c r="B105" s="277"/>
      <c r="C105" s="463"/>
      <c r="D105" s="463"/>
    </row>
    <row r="106" spans="1:4" ht="15" customHeight="1" x14ac:dyDescent="0.25">
      <c r="A106" s="408" t="s">
        <v>319</v>
      </c>
      <c r="B106" s="277">
        <v>2.7</v>
      </c>
      <c r="C106" s="464">
        <f>IF('5. Pupuk pilihan pengguna'!E44="Y",B106,)</f>
        <v>0</v>
      </c>
      <c r="D106" s="464"/>
    </row>
    <row r="107" spans="1:4" ht="15" customHeight="1" x14ac:dyDescent="0.25">
      <c r="A107" s="408" t="s">
        <v>320</v>
      </c>
      <c r="B107" s="277">
        <v>2</v>
      </c>
      <c r="C107" s="464">
        <f>IF('5. Pupuk pilihan pengguna'!F44="Y",B107,)</f>
        <v>0</v>
      </c>
      <c r="D107" s="464"/>
    </row>
    <row r="108" spans="1:4" ht="15" customHeight="1" x14ac:dyDescent="0.25">
      <c r="A108" s="408" t="s">
        <v>433</v>
      </c>
      <c r="B108" s="277">
        <v>0.2</v>
      </c>
      <c r="C108" s="464">
        <f>IF('5. Pupuk pilihan pengguna'!G44="Y",B108,)</f>
        <v>0</v>
      </c>
      <c r="D108" s="464"/>
    </row>
    <row r="109" spans="1:4" ht="15" customHeight="1" x14ac:dyDescent="0.25">
      <c r="A109" s="408" t="s">
        <v>434</v>
      </c>
      <c r="B109" s="183">
        <f>AVERAGE(B106:B108)</f>
        <v>1.6333333333333335</v>
      </c>
      <c r="C109" s="464">
        <f>SUM(C106:D108)</f>
        <v>0</v>
      </c>
      <c r="D109" s="464"/>
    </row>
    <row r="110" spans="1:4" ht="15" customHeight="1" x14ac:dyDescent="0.25">
      <c r="A110" s="277"/>
      <c r="B110" s="277"/>
      <c r="C110" s="462">
        <f>IF(C109=0, B109, C109)</f>
        <v>1.6333333333333335</v>
      </c>
      <c r="D110" s="462"/>
    </row>
    <row r="111" spans="1:4" ht="15" customHeight="1" x14ac:dyDescent="0.25">
      <c r="A111" s="277"/>
      <c r="B111" s="277"/>
      <c r="C111" s="463"/>
      <c r="D111" s="463"/>
    </row>
    <row r="112" spans="1:4" ht="15" customHeight="1" x14ac:dyDescent="0.25">
      <c r="A112" s="408" t="s">
        <v>323</v>
      </c>
      <c r="B112" s="277">
        <v>0.5</v>
      </c>
      <c r="C112" s="464">
        <f>IF('5. Pupuk pilihan pengguna'!E46="Y",B112,)</f>
        <v>0</v>
      </c>
      <c r="D112" s="464"/>
    </row>
    <row r="113" spans="1:4" ht="15" customHeight="1" x14ac:dyDescent="0.25">
      <c r="A113" s="408" t="s">
        <v>322</v>
      </c>
      <c r="B113" s="277">
        <v>1.4</v>
      </c>
      <c r="C113" s="464">
        <f>IF('5. Pupuk pilihan pengguna'!F46="Y",B113,)</f>
        <v>0</v>
      </c>
      <c r="D113" s="464"/>
    </row>
    <row r="114" spans="1:4" ht="15" customHeight="1" x14ac:dyDescent="0.25">
      <c r="A114" s="408" t="s">
        <v>435</v>
      </c>
      <c r="B114" s="183">
        <f>AVERAGE(B112:B113)</f>
        <v>0.95</v>
      </c>
      <c r="C114" s="464">
        <f>SUM(C112:D113)</f>
        <v>0</v>
      </c>
      <c r="D114" s="464"/>
    </row>
    <row r="115" spans="1:4" ht="15" customHeight="1" x14ac:dyDescent="0.25">
      <c r="A115" s="277"/>
      <c r="B115" s="277"/>
      <c r="C115" s="465">
        <f>IF(C114=0, B114, C114)</f>
        <v>0.95</v>
      </c>
      <c r="D115" s="465"/>
    </row>
    <row r="116" spans="1:4" ht="15" customHeight="1" x14ac:dyDescent="0.25">
      <c r="A116" s="277"/>
      <c r="B116" s="277"/>
      <c r="C116" s="463"/>
      <c r="D116" s="463"/>
    </row>
    <row r="117" spans="1:4" ht="15" customHeight="1" x14ac:dyDescent="0.25">
      <c r="A117" s="408" t="s">
        <v>436</v>
      </c>
      <c r="B117" s="277"/>
      <c r="C117" s="465">
        <v>0.9</v>
      </c>
      <c r="D117" s="465"/>
    </row>
    <row r="118" spans="1:4" ht="15" customHeight="1" x14ac:dyDescent="0.25">
      <c r="A118" s="408" t="s">
        <v>437</v>
      </c>
      <c r="B118" s="277"/>
      <c r="C118" s="465">
        <v>1</v>
      </c>
      <c r="D118" s="465"/>
    </row>
    <row r="119" spans="1:4" ht="15" customHeight="1" x14ac:dyDescent="0.25">
      <c r="A119" s="408" t="s">
        <v>422</v>
      </c>
      <c r="B119" s="277"/>
      <c r="C119" s="465"/>
      <c r="D119" s="465"/>
    </row>
    <row r="120" spans="1:4" ht="15" customHeight="1" x14ac:dyDescent="0.25">
      <c r="A120" s="408" t="s">
        <v>438</v>
      </c>
      <c r="B120" s="277"/>
      <c r="C120" s="465">
        <v>1.9</v>
      </c>
      <c r="D120" s="465"/>
    </row>
    <row r="121" spans="1:4" ht="15" customHeight="1" x14ac:dyDescent="0.25">
      <c r="A121" s="408" t="s">
        <v>439</v>
      </c>
      <c r="B121" s="277"/>
      <c r="C121" s="465">
        <v>0.2</v>
      </c>
      <c r="D121" s="465"/>
    </row>
    <row r="122" spans="1:4" ht="15" customHeight="1" x14ac:dyDescent="0.25">
      <c r="A122" s="408" t="s">
        <v>440</v>
      </c>
      <c r="B122" s="277"/>
      <c r="C122" s="465">
        <v>1.8</v>
      </c>
      <c r="D122" s="465"/>
    </row>
    <row r="123" spans="1:4" ht="15" customHeight="1" x14ac:dyDescent="0.25">
      <c r="A123" s="408" t="s">
        <v>441</v>
      </c>
      <c r="B123" s="277"/>
      <c r="C123" s="465">
        <v>2.9</v>
      </c>
      <c r="D123" s="465"/>
    </row>
    <row r="124" spans="1:4" ht="15" customHeight="1" x14ac:dyDescent="0.25"/>
    <row r="125" spans="1:4" ht="15" customHeight="1" x14ac:dyDescent="0.25">
      <c r="A125" s="407" t="s">
        <v>442</v>
      </c>
    </row>
    <row r="126" spans="1:4" ht="15" customHeight="1" x14ac:dyDescent="0.25">
      <c r="A126" s="303"/>
      <c r="B126" s="35" t="s">
        <v>99</v>
      </c>
      <c r="C126" s="466" t="s">
        <v>421</v>
      </c>
      <c r="D126" s="466"/>
    </row>
    <row r="127" spans="1:4" ht="15" customHeight="1" x14ac:dyDescent="0.25">
      <c r="A127" s="408" t="s">
        <v>314</v>
      </c>
      <c r="B127" s="183">
        <v>3.3</v>
      </c>
      <c r="C127" s="464">
        <f>IF('5. Pupuk pilihan pengguna'!E68="Y",B127,)</f>
        <v>0</v>
      </c>
      <c r="D127" s="464"/>
    </row>
    <row r="128" spans="1:4" ht="15" customHeight="1" x14ac:dyDescent="0.25">
      <c r="A128" s="408" t="s">
        <v>315</v>
      </c>
      <c r="B128" s="303">
        <v>8.5</v>
      </c>
      <c r="C128" s="464">
        <f>IF('5. Pupuk pilihan pengguna'!F68="Y",B128,)</f>
        <v>0</v>
      </c>
      <c r="D128" s="464"/>
    </row>
    <row r="129" spans="1:4" ht="15" customHeight="1" x14ac:dyDescent="0.25">
      <c r="A129" s="408" t="s">
        <v>316</v>
      </c>
      <c r="B129" s="303">
        <v>2.7</v>
      </c>
      <c r="C129" s="464">
        <f>IF('5. Pupuk pilihan pengguna'!G68="Y",B129,)</f>
        <v>0</v>
      </c>
      <c r="D129" s="464"/>
    </row>
    <row r="130" spans="1:4" ht="15" customHeight="1" x14ac:dyDescent="0.25">
      <c r="A130" s="408" t="s">
        <v>317</v>
      </c>
      <c r="B130" s="303">
        <v>1</v>
      </c>
      <c r="C130" s="464">
        <f>IF('5. Pupuk pilihan pengguna'!H68="Y",B130,)</f>
        <v>0</v>
      </c>
      <c r="D130" s="464"/>
    </row>
    <row r="131" spans="1:4" ht="15" customHeight="1" x14ac:dyDescent="0.25">
      <c r="A131" s="408" t="s">
        <v>318</v>
      </c>
      <c r="B131" s="303">
        <v>7</v>
      </c>
      <c r="C131" s="464">
        <f>IF('5. Pupuk pilihan pengguna'!I68="Y",B131,)</f>
        <v>0</v>
      </c>
      <c r="D131" s="464"/>
    </row>
    <row r="132" spans="1:4" ht="15" customHeight="1" x14ac:dyDescent="0.25">
      <c r="A132" s="408" t="s">
        <v>432</v>
      </c>
      <c r="B132" s="303">
        <f>AVERAGE(B127:B131)</f>
        <v>4.5</v>
      </c>
      <c r="C132" s="464">
        <f>SUM(C127:D131)</f>
        <v>0</v>
      </c>
      <c r="D132" s="464"/>
    </row>
    <row r="133" spans="1:4" ht="15" customHeight="1" x14ac:dyDescent="0.25">
      <c r="A133" s="303"/>
      <c r="B133" s="303"/>
      <c r="C133" s="462">
        <f>IF(C132=0, B132, C132)</f>
        <v>4.5</v>
      </c>
      <c r="D133" s="462"/>
    </row>
    <row r="134" spans="1:4" ht="15" customHeight="1" x14ac:dyDescent="0.25">
      <c r="A134" s="303"/>
      <c r="B134" s="303"/>
      <c r="C134" s="463"/>
      <c r="D134" s="463"/>
    </row>
    <row r="135" spans="1:4" ht="15" customHeight="1" x14ac:dyDescent="0.25">
      <c r="A135" s="408" t="s">
        <v>319</v>
      </c>
      <c r="B135" s="303">
        <v>2.7</v>
      </c>
      <c r="C135" s="464">
        <f>IF('5. Pupuk pilihan pengguna'!E70="Y",B135,)</f>
        <v>0</v>
      </c>
      <c r="D135" s="464"/>
    </row>
    <row r="136" spans="1:4" ht="15" customHeight="1" x14ac:dyDescent="0.25">
      <c r="A136" s="408" t="s">
        <v>320</v>
      </c>
      <c r="B136" s="303">
        <v>2</v>
      </c>
      <c r="C136" s="464">
        <f>IF('5. Pupuk pilihan pengguna'!F70="Y",B136,)</f>
        <v>0</v>
      </c>
      <c r="D136" s="464"/>
    </row>
    <row r="137" spans="1:4" ht="15" customHeight="1" x14ac:dyDescent="0.25">
      <c r="A137" s="408" t="s">
        <v>433</v>
      </c>
      <c r="B137" s="303">
        <v>0.2</v>
      </c>
      <c r="C137" s="464">
        <f>IF('5. Pupuk pilihan pengguna'!G70="Y",B137,)</f>
        <v>0</v>
      </c>
      <c r="D137" s="464"/>
    </row>
    <row r="138" spans="1:4" ht="15" customHeight="1" x14ac:dyDescent="0.25">
      <c r="A138" s="408" t="s">
        <v>434</v>
      </c>
      <c r="B138" s="183">
        <f>AVERAGE(B135:B137)</f>
        <v>1.6333333333333335</v>
      </c>
      <c r="C138" s="464">
        <f>SUM(C135:D137)</f>
        <v>0</v>
      </c>
      <c r="D138" s="464"/>
    </row>
    <row r="139" spans="1:4" ht="15" customHeight="1" x14ac:dyDescent="0.25">
      <c r="A139" s="303"/>
      <c r="B139" s="303"/>
      <c r="C139" s="462">
        <f>IF(C138=0, B138, C138)</f>
        <v>1.6333333333333335</v>
      </c>
      <c r="D139" s="462"/>
    </row>
    <row r="140" spans="1:4" ht="15" customHeight="1" x14ac:dyDescent="0.25">
      <c r="A140" s="303"/>
      <c r="B140" s="303"/>
      <c r="C140" s="463"/>
      <c r="D140" s="463"/>
    </row>
    <row r="141" spans="1:4" ht="15" customHeight="1" x14ac:dyDescent="0.25">
      <c r="A141" s="408" t="s">
        <v>323</v>
      </c>
      <c r="B141" s="303">
        <v>0.5</v>
      </c>
      <c r="C141" s="464">
        <f>IF('5. Pupuk pilihan pengguna'!E72="Y",B141,)</f>
        <v>0</v>
      </c>
      <c r="D141" s="464"/>
    </row>
    <row r="142" spans="1:4" ht="15" customHeight="1" x14ac:dyDescent="0.25">
      <c r="A142" s="408" t="s">
        <v>322</v>
      </c>
      <c r="B142" s="303">
        <v>1.4</v>
      </c>
      <c r="C142" s="464">
        <f>IF('5. Pupuk pilihan pengguna'!F72="Y",B142,)</f>
        <v>0</v>
      </c>
      <c r="D142" s="464"/>
    </row>
    <row r="143" spans="1:4" ht="15" customHeight="1" x14ac:dyDescent="0.25">
      <c r="A143" s="408" t="s">
        <v>435</v>
      </c>
      <c r="B143" s="183">
        <f>AVERAGE(B141:B142)</f>
        <v>0.95</v>
      </c>
      <c r="C143" s="464">
        <f>SUM(C141:D142)</f>
        <v>0</v>
      </c>
      <c r="D143" s="464"/>
    </row>
    <row r="144" spans="1:4" ht="15" customHeight="1" x14ac:dyDescent="0.25">
      <c r="A144" s="303"/>
      <c r="B144" s="303"/>
      <c r="C144" s="465">
        <f>IF(C143=0, B143, C143)</f>
        <v>0.95</v>
      </c>
      <c r="D144" s="465"/>
    </row>
    <row r="145" spans="1:4" ht="15" customHeight="1" x14ac:dyDescent="0.25">
      <c r="A145" s="303"/>
      <c r="B145" s="303"/>
      <c r="C145" s="463"/>
      <c r="D145" s="463"/>
    </row>
    <row r="146" spans="1:4" ht="15" customHeight="1" x14ac:dyDescent="0.25">
      <c r="A146" s="408" t="s">
        <v>436</v>
      </c>
      <c r="B146" s="303"/>
      <c r="C146" s="465">
        <v>0.9</v>
      </c>
      <c r="D146" s="465"/>
    </row>
    <row r="147" spans="1:4" ht="15" customHeight="1" x14ac:dyDescent="0.25">
      <c r="A147" s="408" t="s">
        <v>437</v>
      </c>
      <c r="B147" s="303"/>
      <c r="C147" s="465">
        <v>1</v>
      </c>
      <c r="D147" s="465"/>
    </row>
    <row r="148" spans="1:4" ht="15" customHeight="1" x14ac:dyDescent="0.25">
      <c r="A148" s="408" t="s">
        <v>422</v>
      </c>
      <c r="B148" s="303"/>
      <c r="C148" s="465"/>
      <c r="D148" s="465"/>
    </row>
    <row r="149" spans="1:4" ht="15" customHeight="1" x14ac:dyDescent="0.25">
      <c r="A149" s="408" t="s">
        <v>438</v>
      </c>
      <c r="B149" s="303"/>
      <c r="C149" s="465">
        <v>1.9</v>
      </c>
      <c r="D149" s="465"/>
    </row>
    <row r="150" spans="1:4" ht="15" customHeight="1" x14ac:dyDescent="0.25">
      <c r="A150" s="408" t="s">
        <v>439</v>
      </c>
      <c r="B150" s="303"/>
      <c r="C150" s="465">
        <v>0.2</v>
      </c>
      <c r="D150" s="465"/>
    </row>
    <row r="151" spans="1:4" ht="15" customHeight="1" x14ac:dyDescent="0.25">
      <c r="A151" s="408" t="s">
        <v>440</v>
      </c>
      <c r="B151" s="303"/>
      <c r="C151" s="465">
        <v>1.8</v>
      </c>
      <c r="D151" s="465"/>
    </row>
    <row r="152" spans="1:4" ht="15" customHeight="1" x14ac:dyDescent="0.25">
      <c r="A152" s="408" t="s">
        <v>441</v>
      </c>
      <c r="B152" s="303"/>
      <c r="C152" s="465">
        <v>2.9</v>
      </c>
      <c r="D152" s="465"/>
    </row>
    <row r="153" spans="1:4" ht="15" customHeight="1" x14ac:dyDescent="0.25"/>
    <row r="154" spans="1:4" ht="15" customHeight="1" x14ac:dyDescent="0.25">
      <c r="A154" s="407" t="s">
        <v>443</v>
      </c>
    </row>
    <row r="155" spans="1:4" ht="15" customHeight="1" x14ac:dyDescent="0.25">
      <c r="A155" s="303"/>
      <c r="B155" s="35" t="s">
        <v>99</v>
      </c>
      <c r="C155" s="466" t="s">
        <v>421</v>
      </c>
      <c r="D155" s="466"/>
    </row>
    <row r="156" spans="1:4" ht="15" customHeight="1" x14ac:dyDescent="0.25">
      <c r="A156" s="408" t="s">
        <v>314</v>
      </c>
      <c r="B156" s="183">
        <v>3.3</v>
      </c>
      <c r="C156" s="464">
        <f>IF('5. Pupuk pilihan pengguna'!E94="Y",B156,)</f>
        <v>0</v>
      </c>
      <c r="D156" s="464"/>
    </row>
    <row r="157" spans="1:4" ht="15" customHeight="1" x14ac:dyDescent="0.25">
      <c r="A157" s="408" t="s">
        <v>315</v>
      </c>
      <c r="B157" s="303">
        <v>8.5</v>
      </c>
      <c r="C157" s="464">
        <f>IF('5. Pupuk pilihan pengguna'!F94="Y",B157,)</f>
        <v>0</v>
      </c>
      <c r="D157" s="464"/>
    </row>
    <row r="158" spans="1:4" ht="15" customHeight="1" x14ac:dyDescent="0.25">
      <c r="A158" s="408" t="s">
        <v>316</v>
      </c>
      <c r="B158" s="303">
        <v>2.7</v>
      </c>
      <c r="C158" s="464">
        <f>IF('5. Pupuk pilihan pengguna'!G94="Y",B158,)</f>
        <v>0</v>
      </c>
      <c r="D158" s="464"/>
    </row>
    <row r="159" spans="1:4" ht="15" customHeight="1" x14ac:dyDescent="0.25">
      <c r="A159" s="408" t="s">
        <v>317</v>
      </c>
      <c r="B159" s="303">
        <v>1</v>
      </c>
      <c r="C159" s="464">
        <f>IF('5. Pupuk pilihan pengguna'!H94="Y",B159,)</f>
        <v>0</v>
      </c>
      <c r="D159" s="464"/>
    </row>
    <row r="160" spans="1:4" ht="15" customHeight="1" x14ac:dyDescent="0.25">
      <c r="A160" s="408" t="s">
        <v>318</v>
      </c>
      <c r="B160" s="303">
        <v>7</v>
      </c>
      <c r="C160" s="464">
        <f>IF('5. Pupuk pilihan pengguna'!I94="Y",B160,)</f>
        <v>0</v>
      </c>
      <c r="D160" s="464"/>
    </row>
    <row r="161" spans="1:4" ht="15" customHeight="1" x14ac:dyDescent="0.25">
      <c r="A161" s="408" t="s">
        <v>432</v>
      </c>
      <c r="B161" s="303">
        <f>AVERAGE(B156:B160)</f>
        <v>4.5</v>
      </c>
      <c r="C161" s="464">
        <f>SUM(C156:D160)</f>
        <v>0</v>
      </c>
      <c r="D161" s="464"/>
    </row>
    <row r="162" spans="1:4" ht="15" customHeight="1" x14ac:dyDescent="0.25">
      <c r="A162" s="303"/>
      <c r="B162" s="303"/>
      <c r="C162" s="462">
        <f>IF(C161=0, B161, C161)</f>
        <v>4.5</v>
      </c>
      <c r="D162" s="462"/>
    </row>
    <row r="163" spans="1:4" ht="15" customHeight="1" x14ac:dyDescent="0.25">
      <c r="A163" s="303"/>
      <c r="B163" s="303"/>
      <c r="C163" s="463"/>
      <c r="D163" s="463"/>
    </row>
    <row r="164" spans="1:4" ht="15" customHeight="1" x14ac:dyDescent="0.25">
      <c r="A164" s="408" t="s">
        <v>319</v>
      </c>
      <c r="B164" s="303">
        <v>2.7</v>
      </c>
      <c r="C164" s="464">
        <f>IF('5. Pupuk pilihan pengguna'!E96="Y",B164,)</f>
        <v>0</v>
      </c>
      <c r="D164" s="464"/>
    </row>
    <row r="165" spans="1:4" ht="15" customHeight="1" x14ac:dyDescent="0.25">
      <c r="A165" s="408" t="s">
        <v>320</v>
      </c>
      <c r="B165" s="303">
        <v>2</v>
      </c>
      <c r="C165" s="464">
        <f>IF('5. Pupuk pilihan pengguna'!F96="Y",B165,)</f>
        <v>0</v>
      </c>
      <c r="D165" s="464"/>
    </row>
    <row r="166" spans="1:4" ht="15" customHeight="1" x14ac:dyDescent="0.25">
      <c r="A166" s="408" t="s">
        <v>433</v>
      </c>
      <c r="B166" s="303">
        <v>0.2</v>
      </c>
      <c r="C166" s="464">
        <f>IF('5. Pupuk pilihan pengguna'!G96="Y",B166,)</f>
        <v>0</v>
      </c>
      <c r="D166" s="464"/>
    </row>
    <row r="167" spans="1:4" ht="15" customHeight="1" x14ac:dyDescent="0.25">
      <c r="A167" s="408" t="s">
        <v>434</v>
      </c>
      <c r="B167" s="183">
        <f>AVERAGE(B164:B166)</f>
        <v>1.6333333333333335</v>
      </c>
      <c r="C167" s="464">
        <f>SUM(C164:D166)</f>
        <v>0</v>
      </c>
      <c r="D167" s="464"/>
    </row>
    <row r="168" spans="1:4" ht="15" customHeight="1" x14ac:dyDescent="0.25">
      <c r="A168" s="303"/>
      <c r="B168" s="303"/>
      <c r="C168" s="462">
        <f>IF(C167=0, B167, C167)</f>
        <v>1.6333333333333335</v>
      </c>
      <c r="D168" s="462"/>
    </row>
    <row r="169" spans="1:4" ht="15" customHeight="1" x14ac:dyDescent="0.25">
      <c r="A169" s="303"/>
      <c r="B169" s="303"/>
      <c r="C169" s="463"/>
      <c r="D169" s="463"/>
    </row>
    <row r="170" spans="1:4" ht="15" customHeight="1" x14ac:dyDescent="0.25">
      <c r="A170" s="408" t="s">
        <v>323</v>
      </c>
      <c r="B170" s="303">
        <v>0.5</v>
      </c>
      <c r="C170" s="464">
        <f>IF('5. Pupuk pilihan pengguna'!E98="Y",B170,)</f>
        <v>0</v>
      </c>
      <c r="D170" s="464"/>
    </row>
    <row r="171" spans="1:4" ht="15" customHeight="1" x14ac:dyDescent="0.25">
      <c r="A171" s="408" t="s">
        <v>322</v>
      </c>
      <c r="B171" s="303">
        <v>1.4</v>
      </c>
      <c r="C171" s="464">
        <f>IF('5. Pupuk pilihan pengguna'!F98="Y",B171,)</f>
        <v>0</v>
      </c>
      <c r="D171" s="464"/>
    </row>
    <row r="172" spans="1:4" ht="15" customHeight="1" x14ac:dyDescent="0.25">
      <c r="A172" s="408" t="s">
        <v>435</v>
      </c>
      <c r="B172" s="183">
        <f>AVERAGE(B170:B171)</f>
        <v>0.95</v>
      </c>
      <c r="C172" s="464">
        <f>SUM(C170:D171)</f>
        <v>0</v>
      </c>
      <c r="D172" s="464"/>
    </row>
    <row r="173" spans="1:4" ht="15" customHeight="1" x14ac:dyDescent="0.25">
      <c r="A173" s="303"/>
      <c r="B173" s="303"/>
      <c r="C173" s="465">
        <f>IF(C172=0, B172, C172)</f>
        <v>0.95</v>
      </c>
      <c r="D173" s="465"/>
    </row>
    <row r="174" spans="1:4" ht="15" customHeight="1" x14ac:dyDescent="0.25">
      <c r="A174" s="303"/>
      <c r="B174" s="303"/>
      <c r="C174" s="463"/>
      <c r="D174" s="463"/>
    </row>
    <row r="175" spans="1:4" ht="15" customHeight="1" x14ac:dyDescent="0.25">
      <c r="A175" s="408" t="s">
        <v>436</v>
      </c>
      <c r="B175" s="303"/>
      <c r="C175" s="465">
        <v>0.9</v>
      </c>
      <c r="D175" s="465"/>
    </row>
    <row r="176" spans="1:4" ht="15" customHeight="1" x14ac:dyDescent="0.25">
      <c r="A176" s="408" t="s">
        <v>437</v>
      </c>
      <c r="B176" s="303"/>
      <c r="C176" s="465">
        <v>1</v>
      </c>
      <c r="D176" s="465"/>
    </row>
    <row r="177" spans="1:4" ht="15" customHeight="1" x14ac:dyDescent="0.25">
      <c r="A177" s="408" t="s">
        <v>422</v>
      </c>
      <c r="B177" s="303"/>
      <c r="C177" s="465"/>
      <c r="D177" s="465"/>
    </row>
    <row r="178" spans="1:4" ht="15" customHeight="1" x14ac:dyDescent="0.25">
      <c r="A178" s="408" t="s">
        <v>438</v>
      </c>
      <c r="B178" s="303"/>
      <c r="C178" s="465">
        <v>1.9</v>
      </c>
      <c r="D178" s="465"/>
    </row>
    <row r="179" spans="1:4" ht="15" customHeight="1" x14ac:dyDescent="0.25">
      <c r="A179" s="408" t="s">
        <v>439</v>
      </c>
      <c r="B179" s="303"/>
      <c r="C179" s="465">
        <v>0.2</v>
      </c>
      <c r="D179" s="465"/>
    </row>
    <row r="180" spans="1:4" ht="15" customHeight="1" x14ac:dyDescent="0.25">
      <c r="A180" s="408" t="s">
        <v>440</v>
      </c>
      <c r="B180" s="303"/>
      <c r="C180" s="465">
        <v>1.8</v>
      </c>
      <c r="D180" s="465"/>
    </row>
    <row r="181" spans="1:4" ht="15" customHeight="1" x14ac:dyDescent="0.25">
      <c r="A181" s="408" t="s">
        <v>441</v>
      </c>
      <c r="B181" s="303"/>
      <c r="C181" s="465">
        <v>2.9</v>
      </c>
      <c r="D181" s="465"/>
    </row>
    <row r="182" spans="1:4" ht="15" customHeight="1" x14ac:dyDescent="0.25"/>
    <row r="183" spans="1:4" ht="15" customHeight="1" x14ac:dyDescent="0.25">
      <c r="A183" s="407" t="s">
        <v>444</v>
      </c>
    </row>
    <row r="184" spans="1:4" ht="15" customHeight="1" x14ac:dyDescent="0.25">
      <c r="A184" s="303"/>
      <c r="B184" s="35" t="s">
        <v>99</v>
      </c>
      <c r="C184" s="466" t="s">
        <v>421</v>
      </c>
      <c r="D184" s="466"/>
    </row>
    <row r="185" spans="1:4" ht="15" customHeight="1" x14ac:dyDescent="0.25">
      <c r="A185" s="408" t="s">
        <v>314</v>
      </c>
      <c r="B185" s="183">
        <v>3.3</v>
      </c>
      <c r="C185" s="464">
        <f>IF('5. Pupuk pilihan pengguna'!E120="Y",B185,)</f>
        <v>0</v>
      </c>
      <c r="D185" s="464"/>
    </row>
    <row r="186" spans="1:4" ht="15" customHeight="1" x14ac:dyDescent="0.25">
      <c r="A186" s="408" t="s">
        <v>315</v>
      </c>
      <c r="B186" s="303">
        <v>8.5</v>
      </c>
      <c r="C186" s="464">
        <f>IF('5. Pupuk pilihan pengguna'!F120="Y",B186,)</f>
        <v>0</v>
      </c>
      <c r="D186" s="464"/>
    </row>
    <row r="187" spans="1:4" ht="15" customHeight="1" x14ac:dyDescent="0.25">
      <c r="A187" s="408" t="s">
        <v>316</v>
      </c>
      <c r="B187" s="303">
        <v>2.7</v>
      </c>
      <c r="C187" s="464">
        <f>IF('5. Pupuk pilihan pengguna'!G120="Y",B187,)</f>
        <v>0</v>
      </c>
      <c r="D187" s="464"/>
    </row>
    <row r="188" spans="1:4" ht="15" customHeight="1" x14ac:dyDescent="0.25">
      <c r="A188" s="408" t="s">
        <v>317</v>
      </c>
      <c r="B188" s="303">
        <v>1</v>
      </c>
      <c r="C188" s="464">
        <f>IF('5. Pupuk pilihan pengguna'!H120="Y",B188,)</f>
        <v>0</v>
      </c>
      <c r="D188" s="464"/>
    </row>
    <row r="189" spans="1:4" ht="15" customHeight="1" x14ac:dyDescent="0.25">
      <c r="A189" s="408" t="s">
        <v>318</v>
      </c>
      <c r="B189" s="303">
        <v>7</v>
      </c>
      <c r="C189" s="464">
        <f>IF('5. Pupuk pilihan pengguna'!I120="Y",B189,)</f>
        <v>0</v>
      </c>
      <c r="D189" s="464"/>
    </row>
    <row r="190" spans="1:4" ht="15" customHeight="1" x14ac:dyDescent="0.25">
      <c r="A190" s="408" t="s">
        <v>432</v>
      </c>
      <c r="B190" s="303">
        <f>AVERAGE(B185:B189)</f>
        <v>4.5</v>
      </c>
      <c r="C190" s="464">
        <f>SUM(C185:D189)</f>
        <v>0</v>
      </c>
      <c r="D190" s="464"/>
    </row>
    <row r="191" spans="1:4" ht="15" customHeight="1" x14ac:dyDescent="0.25">
      <c r="A191" s="303"/>
      <c r="B191" s="303"/>
      <c r="C191" s="462">
        <f>IF(C190=0, B190, C190)</f>
        <v>4.5</v>
      </c>
      <c r="D191" s="462"/>
    </row>
    <row r="192" spans="1:4" ht="15" customHeight="1" x14ac:dyDescent="0.25">
      <c r="A192" s="303"/>
      <c r="B192" s="303"/>
      <c r="C192" s="463"/>
      <c r="D192" s="463"/>
    </row>
    <row r="193" spans="1:4" ht="15" customHeight="1" x14ac:dyDescent="0.25">
      <c r="A193" s="408" t="s">
        <v>319</v>
      </c>
      <c r="B193" s="303">
        <v>2.7</v>
      </c>
      <c r="C193" s="464">
        <f>IF('5. Pupuk pilihan pengguna'!E122="Y",B193,)</f>
        <v>0</v>
      </c>
      <c r="D193" s="464"/>
    </row>
    <row r="194" spans="1:4" ht="15" customHeight="1" x14ac:dyDescent="0.25">
      <c r="A194" s="408" t="s">
        <v>320</v>
      </c>
      <c r="B194" s="303">
        <v>2</v>
      </c>
      <c r="C194" s="464">
        <f>IF('5. Pupuk pilihan pengguna'!F122="Y",B194,)</f>
        <v>0</v>
      </c>
      <c r="D194" s="464"/>
    </row>
    <row r="195" spans="1:4" ht="15" customHeight="1" x14ac:dyDescent="0.25">
      <c r="A195" s="408" t="s">
        <v>433</v>
      </c>
      <c r="B195" s="303">
        <v>0.2</v>
      </c>
      <c r="C195" s="464">
        <f>IF('5. Pupuk pilihan pengguna'!G122="Y",B195,)</f>
        <v>0</v>
      </c>
      <c r="D195" s="464"/>
    </row>
    <row r="196" spans="1:4" ht="15" customHeight="1" x14ac:dyDescent="0.25">
      <c r="A196" s="408" t="s">
        <v>434</v>
      </c>
      <c r="B196" s="183">
        <f>AVERAGE(B193:B195)</f>
        <v>1.6333333333333335</v>
      </c>
      <c r="C196" s="464">
        <f>SUM(C193:D195)</f>
        <v>0</v>
      </c>
      <c r="D196" s="464"/>
    </row>
    <row r="197" spans="1:4" ht="15" customHeight="1" x14ac:dyDescent="0.25">
      <c r="A197" s="303"/>
      <c r="B197" s="303"/>
      <c r="C197" s="462">
        <f>IF(C196=0, B196, C196)</f>
        <v>1.6333333333333335</v>
      </c>
      <c r="D197" s="462"/>
    </row>
    <row r="198" spans="1:4" ht="15" customHeight="1" x14ac:dyDescent="0.25">
      <c r="A198" s="303"/>
      <c r="B198" s="303"/>
      <c r="C198" s="463"/>
      <c r="D198" s="463"/>
    </row>
    <row r="199" spans="1:4" ht="15" customHeight="1" x14ac:dyDescent="0.25">
      <c r="A199" s="408" t="s">
        <v>323</v>
      </c>
      <c r="B199" s="303">
        <v>0.5</v>
      </c>
      <c r="C199" s="464">
        <f>IF('5. Pupuk pilihan pengguna'!E124="Y",B199,)</f>
        <v>0</v>
      </c>
      <c r="D199" s="464"/>
    </row>
    <row r="200" spans="1:4" ht="15" customHeight="1" x14ac:dyDescent="0.25">
      <c r="A200" s="408" t="s">
        <v>322</v>
      </c>
      <c r="B200" s="303">
        <v>1.4</v>
      </c>
      <c r="C200" s="464">
        <f>IF('5. Pupuk pilihan pengguna'!F124="Y",B200,)</f>
        <v>0</v>
      </c>
      <c r="D200" s="464"/>
    </row>
    <row r="201" spans="1:4" ht="15" customHeight="1" x14ac:dyDescent="0.25">
      <c r="A201" s="408" t="s">
        <v>435</v>
      </c>
      <c r="B201" s="183">
        <f>AVERAGE(B199:B200)</f>
        <v>0.95</v>
      </c>
      <c r="C201" s="464">
        <f>SUM(C199:D200)</f>
        <v>0</v>
      </c>
      <c r="D201" s="464"/>
    </row>
    <row r="202" spans="1:4" ht="15" customHeight="1" x14ac:dyDescent="0.25">
      <c r="A202" s="303"/>
      <c r="B202" s="303"/>
      <c r="C202" s="465">
        <f>IF(C201=0, B201, C201)</f>
        <v>0.95</v>
      </c>
      <c r="D202" s="465"/>
    </row>
    <row r="203" spans="1:4" ht="15" customHeight="1" x14ac:dyDescent="0.25">
      <c r="A203" s="303"/>
      <c r="B203" s="303"/>
      <c r="C203" s="463"/>
      <c r="D203" s="463"/>
    </row>
    <row r="204" spans="1:4" ht="15" customHeight="1" x14ac:dyDescent="0.25">
      <c r="A204" s="408" t="s">
        <v>436</v>
      </c>
      <c r="B204" s="303"/>
      <c r="C204" s="465">
        <v>0.9</v>
      </c>
      <c r="D204" s="465"/>
    </row>
    <row r="205" spans="1:4" ht="15" customHeight="1" x14ac:dyDescent="0.25">
      <c r="A205" s="408" t="s">
        <v>437</v>
      </c>
      <c r="B205" s="303"/>
      <c r="C205" s="465">
        <v>1</v>
      </c>
      <c r="D205" s="465"/>
    </row>
    <row r="206" spans="1:4" ht="15" customHeight="1" x14ac:dyDescent="0.25">
      <c r="A206" s="408" t="s">
        <v>422</v>
      </c>
      <c r="B206" s="303"/>
      <c r="C206" s="465"/>
      <c r="D206" s="465"/>
    </row>
    <row r="207" spans="1:4" ht="15" customHeight="1" x14ac:dyDescent="0.25">
      <c r="A207" s="408" t="s">
        <v>438</v>
      </c>
      <c r="B207" s="303"/>
      <c r="C207" s="465">
        <v>1.9</v>
      </c>
      <c r="D207" s="465"/>
    </row>
    <row r="208" spans="1:4" ht="15" customHeight="1" x14ac:dyDescent="0.25">
      <c r="A208" s="408" t="s">
        <v>439</v>
      </c>
      <c r="B208" s="303"/>
      <c r="C208" s="465">
        <v>0.2</v>
      </c>
      <c r="D208" s="465"/>
    </row>
    <row r="209" spans="1:4" ht="15" customHeight="1" x14ac:dyDescent="0.25">
      <c r="A209" s="408" t="s">
        <v>440</v>
      </c>
      <c r="B209" s="303"/>
      <c r="C209" s="465">
        <v>1.8</v>
      </c>
      <c r="D209" s="465"/>
    </row>
    <row r="210" spans="1:4" ht="15" customHeight="1" x14ac:dyDescent="0.25">
      <c r="A210" s="408" t="s">
        <v>441</v>
      </c>
      <c r="B210" s="303"/>
      <c r="C210" s="465">
        <v>2.9</v>
      </c>
      <c r="D210" s="465"/>
    </row>
    <row r="211" spans="1:4" ht="15" customHeight="1" x14ac:dyDescent="0.25"/>
    <row r="212" spans="1:4" ht="15" customHeight="1" x14ac:dyDescent="0.25">
      <c r="A212" s="407" t="s">
        <v>340</v>
      </c>
      <c r="B212" s="302"/>
      <c r="C212" s="302"/>
      <c r="D212" s="302"/>
    </row>
    <row r="213" spans="1:4" ht="15" customHeight="1" x14ac:dyDescent="0.25">
      <c r="A213" s="303"/>
      <c r="B213" s="35" t="s">
        <v>99</v>
      </c>
      <c r="C213" s="466" t="s">
        <v>421</v>
      </c>
      <c r="D213" s="466"/>
    </row>
    <row r="214" spans="1:4" ht="15" customHeight="1" x14ac:dyDescent="0.25">
      <c r="A214" s="408" t="s">
        <v>314</v>
      </c>
      <c r="B214" s="183">
        <v>3.3</v>
      </c>
      <c r="C214" s="464">
        <f>IF('5. Pupuk pilihan pengguna'!E146="Y",B214,)</f>
        <v>0</v>
      </c>
      <c r="D214" s="464"/>
    </row>
    <row r="215" spans="1:4" ht="15" customHeight="1" x14ac:dyDescent="0.25">
      <c r="A215" s="408" t="s">
        <v>315</v>
      </c>
      <c r="B215" s="303">
        <v>8.5</v>
      </c>
      <c r="C215" s="464">
        <f>IF('5. Pupuk pilihan pengguna'!F146="Y",B215,)</f>
        <v>0</v>
      </c>
      <c r="D215" s="464"/>
    </row>
    <row r="216" spans="1:4" ht="15" customHeight="1" x14ac:dyDescent="0.25">
      <c r="A216" s="408" t="s">
        <v>316</v>
      </c>
      <c r="B216" s="303">
        <v>2.7</v>
      </c>
      <c r="C216" s="464">
        <f>IF('5. Pupuk pilihan pengguna'!G146="Y",B216,)</f>
        <v>0</v>
      </c>
      <c r="D216" s="464"/>
    </row>
    <row r="217" spans="1:4" ht="15" customHeight="1" x14ac:dyDescent="0.25">
      <c r="A217" s="408" t="s">
        <v>317</v>
      </c>
      <c r="B217" s="303">
        <v>1</v>
      </c>
      <c r="C217" s="464">
        <f>IF('5. Pupuk pilihan pengguna'!H146="Y",B217,)</f>
        <v>0</v>
      </c>
      <c r="D217" s="464"/>
    </row>
    <row r="218" spans="1:4" ht="15" customHeight="1" x14ac:dyDescent="0.25">
      <c r="A218" s="408" t="s">
        <v>318</v>
      </c>
      <c r="B218" s="303">
        <v>7</v>
      </c>
      <c r="C218" s="464">
        <f>IF('5. Pupuk pilihan pengguna'!I146="Y",B218,)</f>
        <v>0</v>
      </c>
      <c r="D218" s="464"/>
    </row>
    <row r="219" spans="1:4" ht="15" customHeight="1" x14ac:dyDescent="0.25">
      <c r="A219" s="408" t="s">
        <v>432</v>
      </c>
      <c r="B219" s="303">
        <f>AVERAGE(B214:B218)</f>
        <v>4.5</v>
      </c>
      <c r="C219" s="464">
        <f>SUM(C214:D218)</f>
        <v>0</v>
      </c>
      <c r="D219" s="464"/>
    </row>
    <row r="220" spans="1:4" ht="15" customHeight="1" x14ac:dyDescent="0.25">
      <c r="A220" s="303"/>
      <c r="B220" s="303"/>
      <c r="C220" s="462">
        <f>IF(C219=0, B219, C219)</f>
        <v>4.5</v>
      </c>
      <c r="D220" s="462"/>
    </row>
    <row r="221" spans="1:4" ht="15" customHeight="1" x14ac:dyDescent="0.25">
      <c r="A221" s="303"/>
      <c r="B221" s="303"/>
      <c r="C221" s="463"/>
      <c r="D221" s="463"/>
    </row>
    <row r="222" spans="1:4" ht="15" customHeight="1" x14ac:dyDescent="0.25">
      <c r="A222" s="408" t="s">
        <v>319</v>
      </c>
      <c r="B222" s="303">
        <v>2.7</v>
      </c>
      <c r="C222" s="464">
        <f>IF('5. Pupuk pilihan pengguna'!E148="Y",B222,)</f>
        <v>0</v>
      </c>
      <c r="D222" s="464"/>
    </row>
    <row r="223" spans="1:4" ht="15" customHeight="1" x14ac:dyDescent="0.25">
      <c r="A223" s="408" t="s">
        <v>320</v>
      </c>
      <c r="B223" s="303">
        <v>2</v>
      </c>
      <c r="C223" s="464">
        <f>IF('5. Pupuk pilihan pengguna'!F148="Y",B223,)</f>
        <v>0</v>
      </c>
      <c r="D223" s="464"/>
    </row>
    <row r="224" spans="1:4" ht="15" customHeight="1" x14ac:dyDescent="0.25">
      <c r="A224" s="408" t="s">
        <v>433</v>
      </c>
      <c r="B224" s="303">
        <v>0.2</v>
      </c>
      <c r="C224" s="464">
        <f>IF('5. Pupuk pilihan pengguna'!G148="Y",B224,)</f>
        <v>0</v>
      </c>
      <c r="D224" s="464"/>
    </row>
    <row r="225" spans="1:4" ht="15" customHeight="1" x14ac:dyDescent="0.25">
      <c r="A225" s="408" t="s">
        <v>434</v>
      </c>
      <c r="B225" s="183">
        <f>AVERAGE(B222:B224)</f>
        <v>1.6333333333333335</v>
      </c>
      <c r="C225" s="464">
        <f>SUM(C222:D224)</f>
        <v>0</v>
      </c>
      <c r="D225" s="464"/>
    </row>
    <row r="226" spans="1:4" ht="15" customHeight="1" x14ac:dyDescent="0.25">
      <c r="A226" s="303"/>
      <c r="B226" s="303"/>
      <c r="C226" s="462">
        <f>IF(C225=0, B225, C225)</f>
        <v>1.6333333333333335</v>
      </c>
      <c r="D226" s="462"/>
    </row>
    <row r="227" spans="1:4" ht="15" customHeight="1" x14ac:dyDescent="0.25">
      <c r="A227" s="303"/>
      <c r="B227" s="303"/>
      <c r="C227" s="463"/>
      <c r="D227" s="463"/>
    </row>
    <row r="228" spans="1:4" ht="15" customHeight="1" x14ac:dyDescent="0.25">
      <c r="A228" s="408" t="s">
        <v>323</v>
      </c>
      <c r="B228" s="303">
        <v>0.5</v>
      </c>
      <c r="C228" s="464">
        <f>IF('5. Pupuk pilihan pengguna'!E150="Y",B228,)</f>
        <v>0</v>
      </c>
      <c r="D228" s="464"/>
    </row>
    <row r="229" spans="1:4" ht="15" customHeight="1" x14ac:dyDescent="0.25">
      <c r="A229" s="408" t="s">
        <v>322</v>
      </c>
      <c r="B229" s="303">
        <v>1.4</v>
      </c>
      <c r="C229" s="464">
        <f>IF('5. Pupuk pilihan pengguna'!F150="Y",B229,)</f>
        <v>0</v>
      </c>
      <c r="D229" s="464"/>
    </row>
    <row r="230" spans="1:4" ht="15" customHeight="1" x14ac:dyDescent="0.25">
      <c r="A230" s="408" t="s">
        <v>435</v>
      </c>
      <c r="B230" s="183">
        <f>AVERAGE(B228:B229)</f>
        <v>0.95</v>
      </c>
      <c r="C230" s="464">
        <f>SUM(C228:D229)</f>
        <v>0</v>
      </c>
      <c r="D230" s="464"/>
    </row>
    <row r="231" spans="1:4" ht="15" customHeight="1" x14ac:dyDescent="0.25">
      <c r="A231" s="303"/>
      <c r="B231" s="303"/>
      <c r="C231" s="465">
        <f>IF(C230=0, B230, C230)</f>
        <v>0.95</v>
      </c>
      <c r="D231" s="465"/>
    </row>
    <row r="232" spans="1:4" ht="15" customHeight="1" x14ac:dyDescent="0.25">
      <c r="A232" s="303"/>
      <c r="B232" s="303"/>
      <c r="C232" s="463"/>
      <c r="D232" s="463"/>
    </row>
    <row r="233" spans="1:4" ht="15" customHeight="1" x14ac:dyDescent="0.25">
      <c r="A233" s="408" t="s">
        <v>436</v>
      </c>
      <c r="B233" s="303"/>
      <c r="C233" s="465">
        <v>0.9</v>
      </c>
      <c r="D233" s="465"/>
    </row>
    <row r="234" spans="1:4" ht="15" customHeight="1" x14ac:dyDescent="0.25">
      <c r="A234" s="408" t="s">
        <v>437</v>
      </c>
      <c r="B234" s="303"/>
      <c r="C234" s="465">
        <v>1</v>
      </c>
      <c r="D234" s="465"/>
    </row>
    <row r="235" spans="1:4" ht="15" customHeight="1" x14ac:dyDescent="0.25">
      <c r="A235" s="408" t="s">
        <v>422</v>
      </c>
      <c r="B235" s="303"/>
      <c r="C235" s="465"/>
      <c r="D235" s="465"/>
    </row>
    <row r="236" spans="1:4" ht="15" customHeight="1" x14ac:dyDescent="0.25">
      <c r="A236" s="408" t="s">
        <v>438</v>
      </c>
      <c r="B236" s="303"/>
      <c r="C236" s="465">
        <v>1.9</v>
      </c>
      <c r="D236" s="465"/>
    </row>
    <row r="237" spans="1:4" ht="15" customHeight="1" x14ac:dyDescent="0.25">
      <c r="A237" s="408" t="s">
        <v>439</v>
      </c>
      <c r="B237" s="303"/>
      <c r="C237" s="465">
        <v>0.2</v>
      </c>
      <c r="D237" s="465"/>
    </row>
    <row r="238" spans="1:4" ht="15" customHeight="1" x14ac:dyDescent="0.25">
      <c r="A238" s="408" t="s">
        <v>440</v>
      </c>
      <c r="B238" s="303"/>
      <c r="C238" s="465">
        <v>1.8</v>
      </c>
      <c r="D238" s="465"/>
    </row>
    <row r="239" spans="1:4" ht="15" customHeight="1" x14ac:dyDescent="0.25">
      <c r="A239" s="408" t="s">
        <v>441</v>
      </c>
      <c r="B239" s="303"/>
      <c r="C239" s="465">
        <v>2.9</v>
      </c>
      <c r="D239" s="465"/>
    </row>
    <row r="240" spans="1:4" ht="15" customHeight="1" x14ac:dyDescent="0.25"/>
    <row r="241" spans="1:4" ht="15" customHeight="1" x14ac:dyDescent="0.25">
      <c r="A241" s="407" t="s">
        <v>341</v>
      </c>
      <c r="B241" s="302"/>
      <c r="C241" s="302"/>
      <c r="D241" s="302"/>
    </row>
    <row r="242" spans="1:4" ht="15" customHeight="1" x14ac:dyDescent="0.25">
      <c r="A242" s="303"/>
      <c r="B242" s="35" t="s">
        <v>99</v>
      </c>
      <c r="C242" s="466" t="s">
        <v>421</v>
      </c>
      <c r="D242" s="466"/>
    </row>
    <row r="243" spans="1:4" ht="15" customHeight="1" x14ac:dyDescent="0.25">
      <c r="A243" s="408" t="s">
        <v>314</v>
      </c>
      <c r="B243" s="183">
        <v>3.3</v>
      </c>
      <c r="C243" s="464">
        <f>IF('5. Pupuk pilihan pengguna'!E172="Y",B243,)</f>
        <v>0</v>
      </c>
      <c r="D243" s="464"/>
    </row>
    <row r="244" spans="1:4" ht="15" customHeight="1" x14ac:dyDescent="0.25">
      <c r="A244" s="408" t="s">
        <v>315</v>
      </c>
      <c r="B244" s="303">
        <v>8.5</v>
      </c>
      <c r="C244" s="464">
        <f>IF('5. Pupuk pilihan pengguna'!F172="Y",B244,)</f>
        <v>0</v>
      </c>
      <c r="D244" s="464"/>
    </row>
    <row r="245" spans="1:4" ht="15" customHeight="1" x14ac:dyDescent="0.25">
      <c r="A245" s="408" t="s">
        <v>316</v>
      </c>
      <c r="B245" s="303">
        <v>2.7</v>
      </c>
      <c r="C245" s="464">
        <f>IF('5. Pupuk pilihan pengguna'!G172="Y",B245,)</f>
        <v>0</v>
      </c>
      <c r="D245" s="464"/>
    </row>
    <row r="246" spans="1:4" ht="15" customHeight="1" x14ac:dyDescent="0.25">
      <c r="A246" s="408" t="s">
        <v>317</v>
      </c>
      <c r="B246" s="303">
        <v>1</v>
      </c>
      <c r="C246" s="464">
        <f>IF('5. Pupuk pilihan pengguna'!H172="Y",B246,)</f>
        <v>0</v>
      </c>
      <c r="D246" s="464"/>
    </row>
    <row r="247" spans="1:4" ht="15" customHeight="1" x14ac:dyDescent="0.25">
      <c r="A247" s="408" t="s">
        <v>318</v>
      </c>
      <c r="B247" s="303">
        <v>7</v>
      </c>
      <c r="C247" s="464">
        <f>IF('5. Pupuk pilihan pengguna'!I172="Y",B247,)</f>
        <v>0</v>
      </c>
      <c r="D247" s="464"/>
    </row>
    <row r="248" spans="1:4" ht="15" customHeight="1" x14ac:dyDescent="0.25">
      <c r="A248" s="408" t="s">
        <v>432</v>
      </c>
      <c r="B248" s="303">
        <f>AVERAGE(B243:B247)</f>
        <v>4.5</v>
      </c>
      <c r="C248" s="464">
        <f>SUM(C243:D247)</f>
        <v>0</v>
      </c>
      <c r="D248" s="464"/>
    </row>
    <row r="249" spans="1:4" ht="15" customHeight="1" x14ac:dyDescent="0.25">
      <c r="A249" s="303"/>
      <c r="B249" s="303"/>
      <c r="C249" s="462">
        <f>IF(C248=0, B248, C248)</f>
        <v>4.5</v>
      </c>
      <c r="D249" s="462"/>
    </row>
    <row r="250" spans="1:4" ht="15" customHeight="1" x14ac:dyDescent="0.25">
      <c r="A250" s="303"/>
      <c r="B250" s="303"/>
      <c r="C250" s="463"/>
      <c r="D250" s="463"/>
    </row>
    <row r="251" spans="1:4" ht="15" customHeight="1" x14ac:dyDescent="0.25">
      <c r="A251" s="408" t="s">
        <v>319</v>
      </c>
      <c r="B251" s="303">
        <v>2.7</v>
      </c>
      <c r="C251" s="464">
        <f>IF('5. Pupuk pilihan pengguna'!E174="Y",B251,)</f>
        <v>0</v>
      </c>
      <c r="D251" s="464"/>
    </row>
    <row r="252" spans="1:4" ht="15" customHeight="1" x14ac:dyDescent="0.25">
      <c r="A252" s="408" t="s">
        <v>320</v>
      </c>
      <c r="B252" s="303">
        <v>2</v>
      </c>
      <c r="C252" s="464">
        <f>IF('5. Pupuk pilihan pengguna'!F174="Y",B252,)</f>
        <v>0</v>
      </c>
      <c r="D252" s="464"/>
    </row>
    <row r="253" spans="1:4" ht="15" customHeight="1" x14ac:dyDescent="0.25">
      <c r="A253" s="408" t="s">
        <v>433</v>
      </c>
      <c r="B253" s="303">
        <v>0.2</v>
      </c>
      <c r="C253" s="464">
        <f>IF('5. Pupuk pilihan pengguna'!G174="Y",B253,)</f>
        <v>0</v>
      </c>
      <c r="D253" s="464"/>
    </row>
    <row r="254" spans="1:4" ht="15" customHeight="1" x14ac:dyDescent="0.25">
      <c r="A254" s="408" t="s">
        <v>434</v>
      </c>
      <c r="B254" s="183">
        <f>AVERAGE(B251:B253)</f>
        <v>1.6333333333333335</v>
      </c>
      <c r="C254" s="464">
        <f>SUM(C251:D253)</f>
        <v>0</v>
      </c>
      <c r="D254" s="464"/>
    </row>
    <row r="255" spans="1:4" ht="15" customHeight="1" x14ac:dyDescent="0.25">
      <c r="A255" s="303"/>
      <c r="B255" s="303"/>
      <c r="C255" s="462">
        <f>IF(C254=0, B254, C254)</f>
        <v>1.6333333333333335</v>
      </c>
      <c r="D255" s="462"/>
    </row>
    <row r="256" spans="1:4" ht="15" customHeight="1" x14ac:dyDescent="0.25">
      <c r="A256" s="303"/>
      <c r="B256" s="303"/>
      <c r="C256" s="463"/>
      <c r="D256" s="463"/>
    </row>
    <row r="257" spans="1:4" ht="15" customHeight="1" x14ac:dyDescent="0.25">
      <c r="A257" s="408" t="s">
        <v>323</v>
      </c>
      <c r="B257" s="303">
        <v>0.5</v>
      </c>
      <c r="C257" s="464">
        <f>IF('5. Pupuk pilihan pengguna'!E176="Y",B257,)</f>
        <v>0</v>
      </c>
      <c r="D257" s="464"/>
    </row>
    <row r="258" spans="1:4" ht="15" customHeight="1" x14ac:dyDescent="0.25">
      <c r="A258" s="408" t="s">
        <v>322</v>
      </c>
      <c r="B258" s="303">
        <v>1.4</v>
      </c>
      <c r="C258" s="464">
        <f>IF('5. Pupuk pilihan pengguna'!F176="Y",B258,)</f>
        <v>0</v>
      </c>
      <c r="D258" s="464"/>
    </row>
    <row r="259" spans="1:4" ht="15" customHeight="1" x14ac:dyDescent="0.25">
      <c r="A259" s="408" t="s">
        <v>435</v>
      </c>
      <c r="B259" s="183">
        <f>AVERAGE(B257:B258)</f>
        <v>0.95</v>
      </c>
      <c r="C259" s="464">
        <f>SUM(C257:D258)</f>
        <v>0</v>
      </c>
      <c r="D259" s="464"/>
    </row>
    <row r="260" spans="1:4" ht="15" customHeight="1" x14ac:dyDescent="0.25">
      <c r="A260" s="303"/>
      <c r="B260" s="303"/>
      <c r="C260" s="465">
        <f>IF(C259=0, B259, C259)</f>
        <v>0.95</v>
      </c>
      <c r="D260" s="465"/>
    </row>
    <row r="261" spans="1:4" ht="15" customHeight="1" x14ac:dyDescent="0.25">
      <c r="A261" s="303"/>
      <c r="B261" s="303"/>
      <c r="C261" s="463"/>
      <c r="D261" s="463"/>
    </row>
    <row r="262" spans="1:4" ht="15" customHeight="1" x14ac:dyDescent="0.25">
      <c r="A262" s="408" t="s">
        <v>436</v>
      </c>
      <c r="B262" s="303"/>
      <c r="C262" s="465">
        <v>0.9</v>
      </c>
      <c r="D262" s="465"/>
    </row>
    <row r="263" spans="1:4" ht="15" customHeight="1" x14ac:dyDescent="0.25">
      <c r="A263" s="408" t="s">
        <v>437</v>
      </c>
      <c r="B263" s="303"/>
      <c r="C263" s="465">
        <v>1</v>
      </c>
      <c r="D263" s="465"/>
    </row>
    <row r="264" spans="1:4" ht="15" customHeight="1" x14ac:dyDescent="0.25">
      <c r="A264" s="408" t="s">
        <v>422</v>
      </c>
      <c r="B264" s="303"/>
      <c r="C264" s="465"/>
      <c r="D264" s="465"/>
    </row>
    <row r="265" spans="1:4" ht="15" customHeight="1" x14ac:dyDescent="0.25">
      <c r="A265" s="408" t="s">
        <v>438</v>
      </c>
      <c r="B265" s="303"/>
      <c r="C265" s="465">
        <v>1.9</v>
      </c>
      <c r="D265" s="465"/>
    </row>
    <row r="266" spans="1:4" ht="15" customHeight="1" x14ac:dyDescent="0.25">
      <c r="A266" s="408" t="s">
        <v>439</v>
      </c>
      <c r="B266" s="303"/>
      <c r="C266" s="465">
        <v>0.2</v>
      </c>
      <c r="D266" s="465"/>
    </row>
    <row r="267" spans="1:4" ht="15" customHeight="1" x14ac:dyDescent="0.25">
      <c r="A267" s="408" t="s">
        <v>440</v>
      </c>
      <c r="B267" s="303"/>
      <c r="C267" s="465">
        <v>1.8</v>
      </c>
      <c r="D267" s="465"/>
    </row>
    <row r="268" spans="1:4" ht="15" customHeight="1" x14ac:dyDescent="0.25">
      <c r="A268" s="408" t="s">
        <v>441</v>
      </c>
      <c r="B268" s="303"/>
      <c r="C268" s="465">
        <v>2.9</v>
      </c>
      <c r="D268" s="465"/>
    </row>
    <row r="269" spans="1:4" ht="15" customHeight="1" x14ac:dyDescent="0.25"/>
    <row r="270" spans="1:4" ht="15" customHeight="1" x14ac:dyDescent="0.25">
      <c r="A270" s="407" t="s">
        <v>337</v>
      </c>
      <c r="B270" s="302"/>
      <c r="C270" s="302"/>
      <c r="D270" s="302"/>
    </row>
    <row r="271" spans="1:4" ht="15" customHeight="1" x14ac:dyDescent="0.25">
      <c r="A271" s="303"/>
      <c r="B271" s="35" t="s">
        <v>99</v>
      </c>
      <c r="C271" s="466" t="s">
        <v>421</v>
      </c>
      <c r="D271" s="466"/>
    </row>
    <row r="272" spans="1:4" ht="15" customHeight="1" x14ac:dyDescent="0.25">
      <c r="A272" s="408" t="s">
        <v>314</v>
      </c>
      <c r="B272" s="183">
        <v>3.3</v>
      </c>
      <c r="C272" s="464">
        <f>IF('5. Pupuk pilihan pengguna'!E198="Y",B272,)</f>
        <v>0</v>
      </c>
      <c r="D272" s="464"/>
    </row>
    <row r="273" spans="1:4" ht="15" customHeight="1" x14ac:dyDescent="0.25">
      <c r="A273" s="408" t="s">
        <v>315</v>
      </c>
      <c r="B273" s="303">
        <v>8.5</v>
      </c>
      <c r="C273" s="464">
        <f>IF('5. Pupuk pilihan pengguna'!F198="Y",B273,)</f>
        <v>0</v>
      </c>
      <c r="D273" s="464"/>
    </row>
    <row r="274" spans="1:4" ht="15" customHeight="1" x14ac:dyDescent="0.25">
      <c r="A274" s="408" t="s">
        <v>316</v>
      </c>
      <c r="B274" s="303">
        <v>2.7</v>
      </c>
      <c r="C274" s="464">
        <f>IF('5. Pupuk pilihan pengguna'!G198="Y",B274,)</f>
        <v>0</v>
      </c>
      <c r="D274" s="464"/>
    </row>
    <row r="275" spans="1:4" ht="15" customHeight="1" x14ac:dyDescent="0.25">
      <c r="A275" s="408" t="s">
        <v>317</v>
      </c>
      <c r="B275" s="303">
        <v>1</v>
      </c>
      <c r="C275" s="464">
        <f>IF('5. Pupuk pilihan pengguna'!H198="Y",B275,)</f>
        <v>0</v>
      </c>
      <c r="D275" s="464"/>
    </row>
    <row r="276" spans="1:4" ht="15" customHeight="1" x14ac:dyDescent="0.25">
      <c r="A276" s="408" t="s">
        <v>318</v>
      </c>
      <c r="B276" s="303">
        <v>7</v>
      </c>
      <c r="C276" s="464">
        <f>IF('5. Pupuk pilihan pengguna'!I198="Y",B276,)</f>
        <v>0</v>
      </c>
      <c r="D276" s="464"/>
    </row>
    <row r="277" spans="1:4" ht="15" customHeight="1" x14ac:dyDescent="0.25">
      <c r="A277" s="408" t="s">
        <v>432</v>
      </c>
      <c r="B277" s="303">
        <f>AVERAGE(B272:B276)</f>
        <v>4.5</v>
      </c>
      <c r="C277" s="464">
        <f>SUM(C272:D276)</f>
        <v>0</v>
      </c>
      <c r="D277" s="464"/>
    </row>
    <row r="278" spans="1:4" ht="15" customHeight="1" x14ac:dyDescent="0.25">
      <c r="A278" s="303"/>
      <c r="B278" s="303"/>
      <c r="C278" s="462">
        <f>IF(C277=0, B277, C277)</f>
        <v>4.5</v>
      </c>
      <c r="D278" s="462"/>
    </row>
    <row r="279" spans="1:4" ht="15" customHeight="1" x14ac:dyDescent="0.25">
      <c r="A279" s="303"/>
      <c r="B279" s="303"/>
      <c r="C279" s="463"/>
      <c r="D279" s="463"/>
    </row>
    <row r="280" spans="1:4" ht="15" customHeight="1" x14ac:dyDescent="0.25">
      <c r="A280" s="408" t="s">
        <v>319</v>
      </c>
      <c r="B280" s="303">
        <v>2.7</v>
      </c>
      <c r="C280" s="464">
        <f>IF('5. Pupuk pilihan pengguna'!E200="Y",B280,)</f>
        <v>0</v>
      </c>
      <c r="D280" s="464"/>
    </row>
    <row r="281" spans="1:4" ht="15" customHeight="1" x14ac:dyDescent="0.25">
      <c r="A281" s="408" t="s">
        <v>320</v>
      </c>
      <c r="B281" s="303">
        <v>2</v>
      </c>
      <c r="C281" s="464">
        <f>IF('5. Pupuk pilihan pengguna'!F200="Y",B281,)</f>
        <v>0</v>
      </c>
      <c r="D281" s="464"/>
    </row>
    <row r="282" spans="1:4" ht="15" customHeight="1" x14ac:dyDescent="0.25">
      <c r="A282" s="408" t="s">
        <v>433</v>
      </c>
      <c r="B282" s="303">
        <v>0.2</v>
      </c>
      <c r="C282" s="464">
        <f>IF('5. Pupuk pilihan pengguna'!G200="Y",B282,)</f>
        <v>0</v>
      </c>
      <c r="D282" s="464"/>
    </row>
    <row r="283" spans="1:4" ht="15" customHeight="1" x14ac:dyDescent="0.25">
      <c r="A283" s="408" t="s">
        <v>434</v>
      </c>
      <c r="B283" s="183">
        <f>AVERAGE(B280:B282)</f>
        <v>1.6333333333333335</v>
      </c>
      <c r="C283" s="464">
        <f>SUM(C280:D282)</f>
        <v>0</v>
      </c>
      <c r="D283" s="464"/>
    </row>
    <row r="284" spans="1:4" ht="15" customHeight="1" x14ac:dyDescent="0.25">
      <c r="A284" s="303"/>
      <c r="B284" s="303"/>
      <c r="C284" s="462">
        <f>IF(C283=0, B283, C283)</f>
        <v>1.6333333333333335</v>
      </c>
      <c r="D284" s="462"/>
    </row>
    <row r="285" spans="1:4" ht="15" customHeight="1" x14ac:dyDescent="0.25">
      <c r="A285" s="303"/>
      <c r="B285" s="303"/>
      <c r="C285" s="463"/>
      <c r="D285" s="463"/>
    </row>
    <row r="286" spans="1:4" ht="15" customHeight="1" x14ac:dyDescent="0.25">
      <c r="A286" s="408" t="s">
        <v>323</v>
      </c>
      <c r="B286" s="303">
        <v>0.5</v>
      </c>
      <c r="C286" s="464">
        <f>IF('5. Pupuk pilihan pengguna'!E202="Y",B286,)</f>
        <v>0</v>
      </c>
      <c r="D286" s="464"/>
    </row>
    <row r="287" spans="1:4" ht="15" customHeight="1" x14ac:dyDescent="0.25">
      <c r="A287" s="408" t="s">
        <v>322</v>
      </c>
      <c r="B287" s="303">
        <v>1.4</v>
      </c>
      <c r="C287" s="464">
        <f>IF('5. Pupuk pilihan pengguna'!F202="Y",B287,)</f>
        <v>0</v>
      </c>
      <c r="D287" s="464"/>
    </row>
    <row r="288" spans="1:4" ht="15" customHeight="1" x14ac:dyDescent="0.25">
      <c r="A288" s="408" t="s">
        <v>435</v>
      </c>
      <c r="B288" s="183">
        <f>AVERAGE(B286:B287)</f>
        <v>0.95</v>
      </c>
      <c r="C288" s="464">
        <f>SUM(C286:D287)</f>
        <v>0</v>
      </c>
      <c r="D288" s="464"/>
    </row>
    <row r="289" spans="1:4" ht="15" customHeight="1" x14ac:dyDescent="0.25">
      <c r="A289" s="303"/>
      <c r="B289" s="303"/>
      <c r="C289" s="465">
        <f>IF(C288=0, B288, C288)</f>
        <v>0.95</v>
      </c>
      <c r="D289" s="465"/>
    </row>
    <row r="290" spans="1:4" ht="15" customHeight="1" x14ac:dyDescent="0.25">
      <c r="A290" s="303"/>
      <c r="B290" s="303"/>
      <c r="C290" s="463"/>
      <c r="D290" s="463"/>
    </row>
    <row r="291" spans="1:4" ht="15" customHeight="1" x14ac:dyDescent="0.25">
      <c r="A291" s="408" t="s">
        <v>436</v>
      </c>
      <c r="B291" s="303"/>
      <c r="C291" s="465">
        <v>0.9</v>
      </c>
      <c r="D291" s="465"/>
    </row>
    <row r="292" spans="1:4" ht="15" customHeight="1" x14ac:dyDescent="0.25">
      <c r="A292" s="408" t="s">
        <v>437</v>
      </c>
      <c r="B292" s="303"/>
      <c r="C292" s="465">
        <v>1</v>
      </c>
      <c r="D292" s="465"/>
    </row>
    <row r="293" spans="1:4" ht="15" customHeight="1" x14ac:dyDescent="0.25">
      <c r="A293" s="408" t="s">
        <v>422</v>
      </c>
      <c r="B293" s="303"/>
      <c r="C293" s="465"/>
      <c r="D293" s="465"/>
    </row>
    <row r="294" spans="1:4" ht="15" customHeight="1" x14ac:dyDescent="0.25">
      <c r="A294" s="408" t="s">
        <v>438</v>
      </c>
      <c r="B294" s="303"/>
      <c r="C294" s="465">
        <v>1.9</v>
      </c>
      <c r="D294" s="465"/>
    </row>
    <row r="295" spans="1:4" ht="15" customHeight="1" x14ac:dyDescent="0.25">
      <c r="A295" s="408" t="s">
        <v>439</v>
      </c>
      <c r="B295" s="303"/>
      <c r="C295" s="465">
        <v>0.2</v>
      </c>
      <c r="D295" s="465"/>
    </row>
    <row r="296" spans="1:4" ht="15" customHeight="1" x14ac:dyDescent="0.25">
      <c r="A296" s="408" t="s">
        <v>440</v>
      </c>
      <c r="B296" s="303"/>
      <c r="C296" s="465">
        <v>1.8</v>
      </c>
      <c r="D296" s="465"/>
    </row>
    <row r="297" spans="1:4" ht="15" customHeight="1" x14ac:dyDescent="0.25">
      <c r="A297" s="408" t="s">
        <v>441</v>
      </c>
      <c r="B297" s="303"/>
      <c r="C297" s="465">
        <v>2.9</v>
      </c>
      <c r="D297" s="465"/>
    </row>
    <row r="298" spans="1:4" ht="15" customHeight="1" x14ac:dyDescent="0.25"/>
    <row r="299" spans="1:4" ht="15" customHeight="1" x14ac:dyDescent="0.25">
      <c r="A299" s="407" t="s">
        <v>338</v>
      </c>
      <c r="B299" s="302"/>
      <c r="C299" s="302"/>
      <c r="D299" s="302"/>
    </row>
    <row r="300" spans="1:4" ht="15" customHeight="1" x14ac:dyDescent="0.25">
      <c r="A300" s="303"/>
      <c r="B300" s="35" t="s">
        <v>99</v>
      </c>
      <c r="C300" s="466" t="s">
        <v>421</v>
      </c>
      <c r="D300" s="466"/>
    </row>
    <row r="301" spans="1:4" ht="15" customHeight="1" x14ac:dyDescent="0.25">
      <c r="A301" s="408" t="s">
        <v>314</v>
      </c>
      <c r="B301" s="183">
        <v>3.3</v>
      </c>
      <c r="C301" s="464">
        <f>IF('5. Pupuk pilihan pengguna'!E224="Y",B301,)</f>
        <v>0</v>
      </c>
      <c r="D301" s="464"/>
    </row>
    <row r="302" spans="1:4" ht="15" customHeight="1" x14ac:dyDescent="0.25">
      <c r="A302" s="408" t="s">
        <v>315</v>
      </c>
      <c r="B302" s="303">
        <v>8.5</v>
      </c>
      <c r="C302" s="464">
        <f>IF('5. Pupuk pilihan pengguna'!F224="Y",B302,)</f>
        <v>0</v>
      </c>
      <c r="D302" s="464"/>
    </row>
    <row r="303" spans="1:4" ht="15" customHeight="1" x14ac:dyDescent="0.25">
      <c r="A303" s="408" t="s">
        <v>316</v>
      </c>
      <c r="B303" s="303">
        <v>2.7</v>
      </c>
      <c r="C303" s="464">
        <f>IF('5. Pupuk pilihan pengguna'!G224="Y",B303,)</f>
        <v>0</v>
      </c>
      <c r="D303" s="464"/>
    </row>
    <row r="304" spans="1:4" ht="15" customHeight="1" x14ac:dyDescent="0.25">
      <c r="A304" s="408" t="s">
        <v>317</v>
      </c>
      <c r="B304" s="303">
        <v>1</v>
      </c>
      <c r="C304" s="464">
        <f>IF('5. Pupuk pilihan pengguna'!H224="Y",B304,)</f>
        <v>0</v>
      </c>
      <c r="D304" s="464"/>
    </row>
    <row r="305" spans="1:4" ht="15" customHeight="1" x14ac:dyDescent="0.25">
      <c r="A305" s="408" t="s">
        <v>318</v>
      </c>
      <c r="B305" s="303">
        <v>7</v>
      </c>
      <c r="C305" s="464">
        <f>IF('5. Pupuk pilihan pengguna'!I224="Y",B305,)</f>
        <v>0</v>
      </c>
      <c r="D305" s="464"/>
    </row>
    <row r="306" spans="1:4" ht="15" customHeight="1" x14ac:dyDescent="0.25">
      <c r="A306" s="408" t="s">
        <v>432</v>
      </c>
      <c r="B306" s="303">
        <f>AVERAGE(B301:B305)</f>
        <v>4.5</v>
      </c>
      <c r="C306" s="464">
        <f>SUM(C301:D305)</f>
        <v>0</v>
      </c>
      <c r="D306" s="464"/>
    </row>
    <row r="307" spans="1:4" ht="15" customHeight="1" x14ac:dyDescent="0.25">
      <c r="A307" s="303"/>
      <c r="B307" s="303"/>
      <c r="C307" s="462">
        <f>IF(C306=0, B306, C306)</f>
        <v>4.5</v>
      </c>
      <c r="D307" s="462"/>
    </row>
    <row r="308" spans="1:4" ht="15" customHeight="1" x14ac:dyDescent="0.25">
      <c r="A308" s="303"/>
      <c r="B308" s="303"/>
      <c r="C308" s="463"/>
      <c r="D308" s="463"/>
    </row>
    <row r="309" spans="1:4" ht="15" customHeight="1" x14ac:dyDescent="0.25">
      <c r="A309" s="408" t="s">
        <v>319</v>
      </c>
      <c r="B309" s="303">
        <v>2.7</v>
      </c>
      <c r="C309" s="464">
        <f>IF('5. Pupuk pilihan pengguna'!E226="Y",B309,)</f>
        <v>0</v>
      </c>
      <c r="D309" s="464"/>
    </row>
    <row r="310" spans="1:4" ht="15" customHeight="1" x14ac:dyDescent="0.25">
      <c r="A310" s="408" t="s">
        <v>320</v>
      </c>
      <c r="B310" s="303">
        <v>2</v>
      </c>
      <c r="C310" s="464">
        <f>IF('5. Pupuk pilihan pengguna'!F226="Y",B310,)</f>
        <v>0</v>
      </c>
      <c r="D310" s="464"/>
    </row>
    <row r="311" spans="1:4" ht="15" customHeight="1" x14ac:dyDescent="0.25">
      <c r="A311" s="408" t="s">
        <v>433</v>
      </c>
      <c r="B311" s="303">
        <v>0.2</v>
      </c>
      <c r="C311" s="464">
        <f>IF('5. Pupuk pilihan pengguna'!G226="Y",B311,)</f>
        <v>0</v>
      </c>
      <c r="D311" s="464"/>
    </row>
    <row r="312" spans="1:4" ht="15" customHeight="1" x14ac:dyDescent="0.25">
      <c r="A312" s="408" t="s">
        <v>434</v>
      </c>
      <c r="B312" s="183">
        <f>AVERAGE(B309:B311)</f>
        <v>1.6333333333333335</v>
      </c>
      <c r="C312" s="464">
        <f>SUM(C309:D311)</f>
        <v>0</v>
      </c>
      <c r="D312" s="464"/>
    </row>
    <row r="313" spans="1:4" ht="15" customHeight="1" x14ac:dyDescent="0.25">
      <c r="A313" s="303"/>
      <c r="B313" s="303"/>
      <c r="C313" s="462">
        <f>IF(C312=0, B312, C312)</f>
        <v>1.6333333333333335</v>
      </c>
      <c r="D313" s="462"/>
    </row>
    <row r="314" spans="1:4" ht="15" customHeight="1" x14ac:dyDescent="0.25">
      <c r="A314" s="303"/>
      <c r="B314" s="303"/>
      <c r="C314" s="463"/>
      <c r="D314" s="463"/>
    </row>
    <row r="315" spans="1:4" ht="15" customHeight="1" x14ac:dyDescent="0.25">
      <c r="A315" s="408" t="s">
        <v>323</v>
      </c>
      <c r="B315" s="303">
        <v>0.5</v>
      </c>
      <c r="C315" s="464">
        <f>IF('5. Pupuk pilihan pengguna'!E228="Y",B315,)</f>
        <v>0</v>
      </c>
      <c r="D315" s="464"/>
    </row>
    <row r="316" spans="1:4" ht="15" customHeight="1" x14ac:dyDescent="0.25">
      <c r="A316" s="408" t="s">
        <v>322</v>
      </c>
      <c r="B316" s="303">
        <v>1.4</v>
      </c>
      <c r="C316" s="464">
        <f>IF('5. Pupuk pilihan pengguna'!F228="Y",B316,)</f>
        <v>0</v>
      </c>
      <c r="D316" s="464"/>
    </row>
    <row r="317" spans="1:4" ht="15" customHeight="1" x14ac:dyDescent="0.25">
      <c r="A317" s="408" t="s">
        <v>435</v>
      </c>
      <c r="B317" s="183">
        <f>AVERAGE(B315:B316)</f>
        <v>0.95</v>
      </c>
      <c r="C317" s="464">
        <f>SUM(C315:D316)</f>
        <v>0</v>
      </c>
      <c r="D317" s="464"/>
    </row>
    <row r="318" spans="1:4" ht="15" customHeight="1" x14ac:dyDescent="0.25">
      <c r="A318" s="303"/>
      <c r="B318" s="303"/>
      <c r="C318" s="465">
        <f>IF(C317=0, B317, C317)</f>
        <v>0.95</v>
      </c>
      <c r="D318" s="465"/>
    </row>
    <row r="319" spans="1:4" ht="15" customHeight="1" x14ac:dyDescent="0.25">
      <c r="A319" s="303"/>
      <c r="B319" s="303"/>
      <c r="C319" s="463"/>
      <c r="D319" s="463"/>
    </row>
    <row r="320" spans="1:4" ht="15" customHeight="1" x14ac:dyDescent="0.25">
      <c r="A320" s="408" t="s">
        <v>436</v>
      </c>
      <c r="B320" s="303"/>
      <c r="C320" s="465">
        <v>0.9</v>
      </c>
      <c r="D320" s="465"/>
    </row>
    <row r="321" spans="1:4" ht="15" customHeight="1" x14ac:dyDescent="0.25">
      <c r="A321" s="408" t="s">
        <v>437</v>
      </c>
      <c r="B321" s="303"/>
      <c r="C321" s="465">
        <v>1</v>
      </c>
      <c r="D321" s="465"/>
    </row>
    <row r="322" spans="1:4" ht="15" customHeight="1" x14ac:dyDescent="0.25">
      <c r="A322" s="408" t="s">
        <v>422</v>
      </c>
      <c r="B322" s="303"/>
      <c r="C322" s="465"/>
      <c r="D322" s="465"/>
    </row>
    <row r="323" spans="1:4" ht="15" customHeight="1" x14ac:dyDescent="0.25">
      <c r="A323" s="408" t="s">
        <v>438</v>
      </c>
      <c r="B323" s="303"/>
      <c r="C323" s="465">
        <v>1.9</v>
      </c>
      <c r="D323" s="465"/>
    </row>
    <row r="324" spans="1:4" ht="15" customHeight="1" x14ac:dyDescent="0.25">
      <c r="A324" s="408" t="s">
        <v>439</v>
      </c>
      <c r="B324" s="303"/>
      <c r="C324" s="465">
        <v>0.2</v>
      </c>
      <c r="D324" s="465"/>
    </row>
    <row r="325" spans="1:4" ht="15" customHeight="1" x14ac:dyDescent="0.25">
      <c r="A325" s="408" t="s">
        <v>440</v>
      </c>
      <c r="B325" s="303"/>
      <c r="C325" s="465">
        <v>1.8</v>
      </c>
      <c r="D325" s="465"/>
    </row>
    <row r="326" spans="1:4" ht="15" customHeight="1" x14ac:dyDescent="0.25">
      <c r="A326" s="408" t="s">
        <v>441</v>
      </c>
      <c r="B326" s="303"/>
      <c r="C326" s="465">
        <v>2.9</v>
      </c>
      <c r="D326" s="465"/>
    </row>
    <row r="327" spans="1:4" ht="15" customHeight="1" x14ac:dyDescent="0.25"/>
    <row r="328" spans="1:4" ht="15" customHeight="1" x14ac:dyDescent="0.25">
      <c r="A328" s="408" t="s">
        <v>339</v>
      </c>
      <c r="B328" s="302"/>
      <c r="C328" s="302"/>
      <c r="D328" s="302"/>
    </row>
    <row r="329" spans="1:4" ht="15" customHeight="1" x14ac:dyDescent="0.25">
      <c r="A329" s="303"/>
      <c r="B329" s="35" t="s">
        <v>99</v>
      </c>
      <c r="C329" s="466" t="s">
        <v>421</v>
      </c>
      <c r="D329" s="466"/>
    </row>
    <row r="330" spans="1:4" ht="15" customHeight="1" x14ac:dyDescent="0.25">
      <c r="A330" s="408" t="s">
        <v>314</v>
      </c>
      <c r="B330" s="183">
        <v>3.3</v>
      </c>
      <c r="C330" s="464">
        <f>IF('5. Pupuk pilihan pengguna'!E250="Y",B330,)</f>
        <v>0</v>
      </c>
      <c r="D330" s="464"/>
    </row>
    <row r="331" spans="1:4" ht="15" customHeight="1" x14ac:dyDescent="0.25">
      <c r="A331" s="408" t="s">
        <v>315</v>
      </c>
      <c r="B331" s="303">
        <v>8.5</v>
      </c>
      <c r="C331" s="464">
        <f>IF('5. Pupuk pilihan pengguna'!F250="Y",B331,)</f>
        <v>0</v>
      </c>
      <c r="D331" s="464"/>
    </row>
    <row r="332" spans="1:4" ht="15" customHeight="1" x14ac:dyDescent="0.25">
      <c r="A332" s="408" t="s">
        <v>316</v>
      </c>
      <c r="B332" s="303">
        <v>2.7</v>
      </c>
      <c r="C332" s="464">
        <f>IF('5. Pupuk pilihan pengguna'!G250="Y",B332,)</f>
        <v>0</v>
      </c>
      <c r="D332" s="464"/>
    </row>
    <row r="333" spans="1:4" ht="15" customHeight="1" x14ac:dyDescent="0.25">
      <c r="A333" s="408" t="s">
        <v>317</v>
      </c>
      <c r="B333" s="303">
        <v>1</v>
      </c>
      <c r="C333" s="464">
        <f>IF('5. Pupuk pilihan pengguna'!H250="Y",B333,)</f>
        <v>0</v>
      </c>
      <c r="D333" s="464"/>
    </row>
    <row r="334" spans="1:4" ht="15" customHeight="1" x14ac:dyDescent="0.25">
      <c r="A334" s="408" t="s">
        <v>318</v>
      </c>
      <c r="B334" s="303">
        <v>7</v>
      </c>
      <c r="C334" s="464">
        <f>IF('5. Pupuk pilihan pengguna'!I250="Y",B334,)</f>
        <v>0</v>
      </c>
      <c r="D334" s="464"/>
    </row>
    <row r="335" spans="1:4" ht="15" customHeight="1" x14ac:dyDescent="0.25">
      <c r="A335" s="408" t="s">
        <v>432</v>
      </c>
      <c r="B335" s="303">
        <f>AVERAGE(B330:B334)</f>
        <v>4.5</v>
      </c>
      <c r="C335" s="464">
        <f>SUM(C330:D334)</f>
        <v>0</v>
      </c>
      <c r="D335" s="464"/>
    </row>
    <row r="336" spans="1:4" ht="15" customHeight="1" x14ac:dyDescent="0.25">
      <c r="A336" s="303"/>
      <c r="B336" s="303"/>
      <c r="C336" s="462">
        <f>IF(C335=0, B335, C335)</f>
        <v>4.5</v>
      </c>
      <c r="D336" s="462"/>
    </row>
    <row r="337" spans="1:4" ht="15" customHeight="1" x14ac:dyDescent="0.25">
      <c r="A337" s="303"/>
      <c r="B337" s="303"/>
      <c r="C337" s="463"/>
      <c r="D337" s="463"/>
    </row>
    <row r="338" spans="1:4" ht="15" customHeight="1" x14ac:dyDescent="0.25">
      <c r="A338" s="408" t="s">
        <v>319</v>
      </c>
      <c r="B338" s="303">
        <v>2.7</v>
      </c>
      <c r="C338" s="464">
        <f>IF('5. Pupuk pilihan pengguna'!E252="Y",B338,)</f>
        <v>0</v>
      </c>
      <c r="D338" s="464"/>
    </row>
    <row r="339" spans="1:4" ht="15" customHeight="1" x14ac:dyDescent="0.25">
      <c r="A339" s="408" t="s">
        <v>320</v>
      </c>
      <c r="B339" s="303">
        <v>2</v>
      </c>
      <c r="C339" s="464">
        <f>IF('5. Pupuk pilihan pengguna'!F252="Y",B339,)</f>
        <v>0</v>
      </c>
      <c r="D339" s="464"/>
    </row>
    <row r="340" spans="1:4" ht="15" customHeight="1" x14ac:dyDescent="0.25">
      <c r="A340" s="408" t="s">
        <v>433</v>
      </c>
      <c r="B340" s="303">
        <v>0.2</v>
      </c>
      <c r="C340" s="464">
        <f>IF('5. Pupuk pilihan pengguna'!G252="Y",B340,)</f>
        <v>0</v>
      </c>
      <c r="D340" s="464"/>
    </row>
    <row r="341" spans="1:4" ht="15" customHeight="1" x14ac:dyDescent="0.25">
      <c r="A341" s="408" t="s">
        <v>434</v>
      </c>
      <c r="B341" s="183">
        <f>AVERAGE(B338:B340)</f>
        <v>1.6333333333333335</v>
      </c>
      <c r="C341" s="464">
        <f>SUM(C338:D340)</f>
        <v>0</v>
      </c>
      <c r="D341" s="464"/>
    </row>
    <row r="342" spans="1:4" ht="15" customHeight="1" x14ac:dyDescent="0.25">
      <c r="A342" s="303"/>
      <c r="B342" s="303"/>
      <c r="C342" s="462">
        <f>IF(C341=0, B341, C341)</f>
        <v>1.6333333333333335</v>
      </c>
      <c r="D342" s="462"/>
    </row>
    <row r="343" spans="1:4" ht="15" customHeight="1" x14ac:dyDescent="0.25">
      <c r="A343" s="303"/>
      <c r="B343" s="303"/>
      <c r="C343" s="463"/>
      <c r="D343" s="463"/>
    </row>
    <row r="344" spans="1:4" ht="15" customHeight="1" x14ac:dyDescent="0.25">
      <c r="A344" s="408" t="s">
        <v>323</v>
      </c>
      <c r="B344" s="303">
        <v>0.5</v>
      </c>
      <c r="C344" s="464">
        <f>IF('5. Pupuk pilihan pengguna'!E254="Y",B344,)</f>
        <v>0</v>
      </c>
      <c r="D344" s="464"/>
    </row>
    <row r="345" spans="1:4" ht="15" customHeight="1" x14ac:dyDescent="0.25">
      <c r="A345" s="408" t="s">
        <v>322</v>
      </c>
      <c r="B345" s="303">
        <v>1.4</v>
      </c>
      <c r="C345" s="464">
        <f>IF('5. Pupuk pilihan pengguna'!F254="Y",B345,)</f>
        <v>0</v>
      </c>
      <c r="D345" s="464"/>
    </row>
    <row r="346" spans="1:4" ht="15" customHeight="1" x14ac:dyDescent="0.25">
      <c r="A346" s="408" t="s">
        <v>435</v>
      </c>
      <c r="B346" s="183">
        <f>AVERAGE(B344:B345)</f>
        <v>0.95</v>
      </c>
      <c r="C346" s="464">
        <f>SUM(C344:D345)</f>
        <v>0</v>
      </c>
      <c r="D346" s="464"/>
    </row>
    <row r="347" spans="1:4" ht="15" customHeight="1" x14ac:dyDescent="0.25">
      <c r="A347" s="303"/>
      <c r="B347" s="303"/>
      <c r="C347" s="465">
        <f>IF(C346=0, B346, C346)</f>
        <v>0.95</v>
      </c>
      <c r="D347" s="465"/>
    </row>
    <row r="348" spans="1:4" ht="15" customHeight="1" x14ac:dyDescent="0.25">
      <c r="A348" s="303"/>
      <c r="B348" s="303"/>
      <c r="C348" s="463"/>
      <c r="D348" s="463"/>
    </row>
    <row r="349" spans="1:4" ht="15" customHeight="1" x14ac:dyDescent="0.25">
      <c r="A349" s="408" t="s">
        <v>436</v>
      </c>
      <c r="B349" s="303"/>
      <c r="C349" s="465">
        <v>0.9</v>
      </c>
      <c r="D349" s="465"/>
    </row>
    <row r="350" spans="1:4" ht="15" customHeight="1" x14ac:dyDescent="0.25">
      <c r="A350" s="408" t="s">
        <v>437</v>
      </c>
      <c r="B350" s="303"/>
      <c r="C350" s="465">
        <v>1</v>
      </c>
      <c r="D350" s="465"/>
    </row>
    <row r="351" spans="1:4" ht="15" customHeight="1" x14ac:dyDescent="0.25">
      <c r="A351" s="408" t="s">
        <v>422</v>
      </c>
      <c r="B351" s="303"/>
      <c r="C351" s="465"/>
      <c r="D351" s="465"/>
    </row>
    <row r="352" spans="1:4" ht="15" customHeight="1" x14ac:dyDescent="0.25">
      <c r="A352" s="408" t="s">
        <v>438</v>
      </c>
      <c r="B352" s="303"/>
      <c r="C352" s="465">
        <v>1.9</v>
      </c>
      <c r="D352" s="465"/>
    </row>
    <row r="353" spans="1:4" ht="15" customHeight="1" x14ac:dyDescent="0.25">
      <c r="A353" s="408" t="s">
        <v>439</v>
      </c>
      <c r="B353" s="303"/>
      <c r="C353" s="465">
        <v>0.2</v>
      </c>
      <c r="D353" s="465"/>
    </row>
    <row r="354" spans="1:4" ht="15" customHeight="1" x14ac:dyDescent="0.25">
      <c r="A354" s="408" t="s">
        <v>440</v>
      </c>
      <c r="B354" s="303"/>
      <c r="C354" s="465">
        <v>1.8</v>
      </c>
      <c r="D354" s="465"/>
    </row>
    <row r="355" spans="1:4" ht="15" customHeight="1" x14ac:dyDescent="0.25">
      <c r="A355" s="408" t="s">
        <v>441</v>
      </c>
      <c r="B355" s="303"/>
      <c r="C355" s="465">
        <v>2.9</v>
      </c>
      <c r="D355" s="465"/>
    </row>
    <row r="357" spans="1:4" x14ac:dyDescent="0.25">
      <c r="A357" s="476" t="s">
        <v>480</v>
      </c>
    </row>
  </sheetData>
  <sheetProtection formatCells="0" formatColumns="0" formatRows="0" insertColumns="0" insertRows="0"/>
  <customSheetViews>
    <customSheetView guid="{E65377FD-65C5-4E48-ADBC-1C49981F2400}" topLeftCell="A52">
      <selection activeCell="F6" sqref="F6"/>
      <pageMargins left="0.7" right="0.7" top="0.75" bottom="0.75" header="0.3" footer="0.3"/>
      <pageSetup orientation="portrait" r:id="rId1"/>
    </customSheetView>
  </customSheetViews>
  <mergeCells count="278">
    <mergeCell ref="C355:D355"/>
    <mergeCell ref="C350:D350"/>
    <mergeCell ref="C351:D351"/>
    <mergeCell ref="C352:D352"/>
    <mergeCell ref="C353:D353"/>
    <mergeCell ref="C354:D354"/>
    <mergeCell ref="C345:D345"/>
    <mergeCell ref="C346:D346"/>
    <mergeCell ref="C347:D347"/>
    <mergeCell ref="C348:D348"/>
    <mergeCell ref="C349:D349"/>
    <mergeCell ref="C340:D340"/>
    <mergeCell ref="C341:D341"/>
    <mergeCell ref="C342:D342"/>
    <mergeCell ref="C343:D343"/>
    <mergeCell ref="C344:D344"/>
    <mergeCell ref="C335:D335"/>
    <mergeCell ref="C336:D336"/>
    <mergeCell ref="C337:D337"/>
    <mergeCell ref="C338:D338"/>
    <mergeCell ref="C339:D339"/>
    <mergeCell ref="C330:D330"/>
    <mergeCell ref="C331:D331"/>
    <mergeCell ref="C332:D332"/>
    <mergeCell ref="C333:D333"/>
    <mergeCell ref="C334:D334"/>
    <mergeCell ref="C323:D323"/>
    <mergeCell ref="C324:D324"/>
    <mergeCell ref="C325:D325"/>
    <mergeCell ref="C326:D326"/>
    <mergeCell ref="C329:D329"/>
    <mergeCell ref="C318:D318"/>
    <mergeCell ref="C319:D319"/>
    <mergeCell ref="C320:D320"/>
    <mergeCell ref="C321:D321"/>
    <mergeCell ref="C322:D322"/>
    <mergeCell ref="C313:D313"/>
    <mergeCell ref="C314:D314"/>
    <mergeCell ref="C315:D315"/>
    <mergeCell ref="C316:D316"/>
    <mergeCell ref="C317:D317"/>
    <mergeCell ref="C308:D308"/>
    <mergeCell ref="C309:D309"/>
    <mergeCell ref="C310:D310"/>
    <mergeCell ref="C311:D311"/>
    <mergeCell ref="C312:D312"/>
    <mergeCell ref="C303:D303"/>
    <mergeCell ref="C304:D304"/>
    <mergeCell ref="C305:D305"/>
    <mergeCell ref="C306:D306"/>
    <mergeCell ref="C307:D307"/>
    <mergeCell ref="C296:D296"/>
    <mergeCell ref="C297:D297"/>
    <mergeCell ref="C300:D300"/>
    <mergeCell ref="C301:D301"/>
    <mergeCell ref="C302:D302"/>
    <mergeCell ref="C291:D291"/>
    <mergeCell ref="C292:D292"/>
    <mergeCell ref="C293:D293"/>
    <mergeCell ref="C294:D294"/>
    <mergeCell ref="C295:D295"/>
    <mergeCell ref="C286:D286"/>
    <mergeCell ref="C287:D287"/>
    <mergeCell ref="C288:D288"/>
    <mergeCell ref="C289:D289"/>
    <mergeCell ref="C290:D290"/>
    <mergeCell ref="C281:D281"/>
    <mergeCell ref="C282:D282"/>
    <mergeCell ref="C283:D283"/>
    <mergeCell ref="C284:D284"/>
    <mergeCell ref="C285:D285"/>
    <mergeCell ref="C276:D276"/>
    <mergeCell ref="C277:D277"/>
    <mergeCell ref="C278:D278"/>
    <mergeCell ref="C279:D279"/>
    <mergeCell ref="C280:D280"/>
    <mergeCell ref="C271:D271"/>
    <mergeCell ref="C272:D272"/>
    <mergeCell ref="C273:D273"/>
    <mergeCell ref="C274:D274"/>
    <mergeCell ref="C275:D275"/>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44:D244"/>
    <mergeCell ref="C245:D245"/>
    <mergeCell ref="C246:D246"/>
    <mergeCell ref="C247:D247"/>
    <mergeCell ref="C248:D248"/>
    <mergeCell ref="C237:D237"/>
    <mergeCell ref="C238:D238"/>
    <mergeCell ref="C239:D239"/>
    <mergeCell ref="C242:D242"/>
    <mergeCell ref="C243:D243"/>
    <mergeCell ref="C232:D232"/>
    <mergeCell ref="C233:D233"/>
    <mergeCell ref="C234:D234"/>
    <mergeCell ref="C235:D235"/>
    <mergeCell ref="C236:D236"/>
    <mergeCell ref="C227:D227"/>
    <mergeCell ref="C228:D228"/>
    <mergeCell ref="C229:D229"/>
    <mergeCell ref="C230:D230"/>
    <mergeCell ref="C231:D231"/>
    <mergeCell ref="C222:D222"/>
    <mergeCell ref="C223:D223"/>
    <mergeCell ref="C224:D224"/>
    <mergeCell ref="C225:D225"/>
    <mergeCell ref="C226:D226"/>
    <mergeCell ref="C217:D217"/>
    <mergeCell ref="C218:D218"/>
    <mergeCell ref="C219:D219"/>
    <mergeCell ref="C220:D220"/>
    <mergeCell ref="C221:D221"/>
    <mergeCell ref="C210:D210"/>
    <mergeCell ref="C213:D213"/>
    <mergeCell ref="C214:D214"/>
    <mergeCell ref="C215:D215"/>
    <mergeCell ref="C216:D216"/>
    <mergeCell ref="C205:D205"/>
    <mergeCell ref="C206:D206"/>
    <mergeCell ref="C207:D207"/>
    <mergeCell ref="C208:D208"/>
    <mergeCell ref="C209:D209"/>
    <mergeCell ref="C200:D200"/>
    <mergeCell ref="C201:D201"/>
    <mergeCell ref="C202:D202"/>
    <mergeCell ref="C203:D203"/>
    <mergeCell ref="C204:D204"/>
    <mergeCell ref="C195:D195"/>
    <mergeCell ref="C196:D196"/>
    <mergeCell ref="C197:D197"/>
    <mergeCell ref="C198:D198"/>
    <mergeCell ref="C199:D199"/>
    <mergeCell ref="C190:D190"/>
    <mergeCell ref="C191:D191"/>
    <mergeCell ref="C192:D192"/>
    <mergeCell ref="C193:D193"/>
    <mergeCell ref="C194:D194"/>
    <mergeCell ref="C185:D185"/>
    <mergeCell ref="C186:D186"/>
    <mergeCell ref="C187:D187"/>
    <mergeCell ref="C188:D188"/>
    <mergeCell ref="C189:D189"/>
    <mergeCell ref="C178:D178"/>
    <mergeCell ref="C179:D179"/>
    <mergeCell ref="C180:D180"/>
    <mergeCell ref="C181:D181"/>
    <mergeCell ref="C184:D184"/>
    <mergeCell ref="C173:D173"/>
    <mergeCell ref="C174:D174"/>
    <mergeCell ref="C175:D175"/>
    <mergeCell ref="C176:D176"/>
    <mergeCell ref="C177:D177"/>
    <mergeCell ref="C168:D168"/>
    <mergeCell ref="C169:D169"/>
    <mergeCell ref="C170:D170"/>
    <mergeCell ref="C171:D171"/>
    <mergeCell ref="C172:D172"/>
    <mergeCell ref="C163:D163"/>
    <mergeCell ref="C164:D164"/>
    <mergeCell ref="C165:D165"/>
    <mergeCell ref="C166:D166"/>
    <mergeCell ref="C167:D167"/>
    <mergeCell ref="C158:D158"/>
    <mergeCell ref="C159:D159"/>
    <mergeCell ref="C160:D160"/>
    <mergeCell ref="C161:D161"/>
    <mergeCell ref="C162:D162"/>
    <mergeCell ref="C151:D151"/>
    <mergeCell ref="C152:D152"/>
    <mergeCell ref="C155:D155"/>
    <mergeCell ref="C156:D156"/>
    <mergeCell ref="C157:D157"/>
    <mergeCell ref="C146:D146"/>
    <mergeCell ref="C147:D147"/>
    <mergeCell ref="C148:D148"/>
    <mergeCell ref="C149:D149"/>
    <mergeCell ref="C150:D150"/>
    <mergeCell ref="C141:D141"/>
    <mergeCell ref="C142:D142"/>
    <mergeCell ref="C143:D143"/>
    <mergeCell ref="C144:D144"/>
    <mergeCell ref="C145:D145"/>
    <mergeCell ref="C136:D136"/>
    <mergeCell ref="C137:D137"/>
    <mergeCell ref="C138:D138"/>
    <mergeCell ref="C139:D139"/>
    <mergeCell ref="C140:D140"/>
    <mergeCell ref="C131:D131"/>
    <mergeCell ref="C132:D132"/>
    <mergeCell ref="C133:D133"/>
    <mergeCell ref="C134:D134"/>
    <mergeCell ref="C135:D135"/>
    <mergeCell ref="C126:D126"/>
    <mergeCell ref="C127:D127"/>
    <mergeCell ref="C128:D128"/>
    <mergeCell ref="C129:D129"/>
    <mergeCell ref="C130:D130"/>
    <mergeCell ref="A3:F3"/>
    <mergeCell ref="E18:F18"/>
    <mergeCell ref="E19:F19"/>
    <mergeCell ref="E20:F20"/>
    <mergeCell ref="E21:F21"/>
    <mergeCell ref="E22:F22"/>
    <mergeCell ref="E23:F23"/>
    <mergeCell ref="E24:F24"/>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97:D97"/>
    <mergeCell ref="C98:D98"/>
    <mergeCell ref="C99:D99"/>
    <mergeCell ref="C100:D100"/>
    <mergeCell ref="C88:D88"/>
    <mergeCell ref="C89:D89"/>
    <mergeCell ref="C90:D90"/>
    <mergeCell ref="C91:D91"/>
    <mergeCell ref="C92:D92"/>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23:D123"/>
    <mergeCell ref="C121:D121"/>
    <mergeCell ref="C122:D122"/>
    <mergeCell ref="C116:D116"/>
    <mergeCell ref="C117:D117"/>
    <mergeCell ref="C118:D118"/>
    <mergeCell ref="C119:D119"/>
    <mergeCell ref="C120:D120"/>
  </mergeCells>
  <pageMargins left="0.7" right="0.7" top="0.75" bottom="0.75" header="0.3" footer="0.3"/>
  <pageSetup orientation="portrait"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1:C17"/>
  <sheetViews>
    <sheetView workbookViewId="0">
      <selection activeCell="A12" sqref="A12"/>
    </sheetView>
  </sheetViews>
  <sheetFormatPr defaultColWidth="9.140625" defaultRowHeight="15" x14ac:dyDescent="0.25"/>
  <cols>
    <col min="1" max="1" width="20.7109375" style="11" customWidth="1"/>
    <col min="2" max="2" width="10.5703125" style="11" customWidth="1"/>
    <col min="3" max="16384" width="9.140625" style="11"/>
  </cols>
  <sheetData>
    <row r="1" spans="1:3" x14ac:dyDescent="0.25">
      <c r="A1" s="24" t="s">
        <v>446</v>
      </c>
    </row>
    <row r="2" spans="1:3" x14ac:dyDescent="0.25">
      <c r="A2" s="24"/>
    </row>
    <row r="3" spans="1:3" ht="43.5" customHeight="1" x14ac:dyDescent="0.25">
      <c r="A3" s="472" t="s">
        <v>445</v>
      </c>
      <c r="B3" s="473"/>
    </row>
    <row r="4" spans="1:3" x14ac:dyDescent="0.25">
      <c r="A4" s="26"/>
    </row>
    <row r="5" spans="1:3" x14ac:dyDescent="0.25">
      <c r="A5" s="38"/>
    </row>
    <row r="6" spans="1:3" x14ac:dyDescent="0.25">
      <c r="A6" s="25" t="s">
        <v>108</v>
      </c>
      <c r="B6" s="236">
        <f>'9. Data Mill'!B7</f>
        <v>0</v>
      </c>
      <c r="C6" s="4"/>
    </row>
    <row r="7" spans="1:3" x14ac:dyDescent="0.25">
      <c r="A7" s="25" t="s">
        <v>109</v>
      </c>
      <c r="B7" s="236">
        <f>'9. Data Mill'!B8</f>
        <v>0</v>
      </c>
      <c r="C7" s="4"/>
    </row>
    <row r="8" spans="1:3" x14ac:dyDescent="0.25">
      <c r="A8" s="25"/>
      <c r="B8" s="27"/>
    </row>
    <row r="9" spans="1:3" ht="39.75" customHeight="1" x14ac:dyDescent="0.25">
      <c r="A9" s="37" t="s">
        <v>447</v>
      </c>
      <c r="B9" s="28" t="e">
        <f>1/(1+B7/B6)*100</f>
        <v>#DIV/0!</v>
      </c>
    </row>
    <row r="10" spans="1:3" ht="39.75" customHeight="1" x14ac:dyDescent="0.25">
      <c r="A10" s="37" t="s">
        <v>448</v>
      </c>
      <c r="B10" s="28" t="e">
        <f>100-B9</f>
        <v>#DIV/0!</v>
      </c>
    </row>
    <row r="11" spans="1:3" x14ac:dyDescent="0.25">
      <c r="A11" s="26"/>
      <c r="B11" s="18"/>
    </row>
    <row r="12" spans="1:3" x14ac:dyDescent="0.25">
      <c r="A12" s="476" t="s">
        <v>480</v>
      </c>
      <c r="B12" s="18"/>
    </row>
    <row r="13" spans="1:3" x14ac:dyDescent="0.25">
      <c r="A13" s="25"/>
      <c r="B13" s="4"/>
      <c r="C13" s="4"/>
    </row>
    <row r="14" spans="1:3" x14ac:dyDescent="0.25">
      <c r="A14"/>
      <c r="B14" s="4"/>
    </row>
    <row r="16" spans="1:3" x14ac:dyDescent="0.25">
      <c r="A16" s="37"/>
      <c r="B16" s="28"/>
    </row>
    <row r="17" spans="1:2" x14ac:dyDescent="0.25">
      <c r="A17" s="37"/>
      <c r="B17" s="28"/>
    </row>
  </sheetData>
  <customSheetViews>
    <customSheetView guid="{E65377FD-65C5-4E48-ADBC-1C49981F2400}">
      <selection activeCell="F9" sqref="F9"/>
      <pageMargins left="0.7" right="0.7" top="0.75" bottom="0.75" header="0.3" footer="0.3"/>
      <pageSetup orientation="portrait" r:id="rId1"/>
    </customSheetView>
  </customSheetViews>
  <mergeCells count="1">
    <mergeCell ref="A3:B3"/>
  </mergeCell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249977111117893"/>
  </sheetPr>
  <dimension ref="A1:Y35"/>
  <sheetViews>
    <sheetView showGridLines="0" tabSelected="1" workbookViewId="0">
      <selection activeCell="K38" sqref="K38"/>
    </sheetView>
  </sheetViews>
  <sheetFormatPr defaultColWidth="9.140625" defaultRowHeight="12.75" x14ac:dyDescent="0.2"/>
  <cols>
    <col min="1" max="1" width="4.85546875" style="338" customWidth="1"/>
    <col min="2" max="16384" width="9.140625" style="336"/>
  </cols>
  <sheetData>
    <row r="1" spans="1:25" ht="42.75" customHeight="1" x14ac:dyDescent="0.5">
      <c r="A1" s="332" t="s">
        <v>203</v>
      </c>
    </row>
    <row r="3" spans="1:25" s="331" customFormat="1" ht="16.5" customHeight="1" x14ac:dyDescent="0.25">
      <c r="A3" s="340">
        <v>1</v>
      </c>
      <c r="B3" s="341" t="s">
        <v>16</v>
      </c>
      <c r="C3" s="341"/>
      <c r="D3" s="341"/>
      <c r="E3" s="341"/>
      <c r="F3" s="341"/>
      <c r="G3" s="341"/>
      <c r="H3" s="341"/>
      <c r="I3" s="341"/>
      <c r="J3" s="341"/>
      <c r="K3" s="341"/>
      <c r="L3" s="341"/>
      <c r="M3" s="341"/>
      <c r="N3" s="341"/>
      <c r="O3" s="341"/>
      <c r="P3" s="341"/>
      <c r="Q3" s="341"/>
      <c r="R3" s="341"/>
      <c r="S3" s="341"/>
      <c r="T3" s="341"/>
      <c r="U3" s="341"/>
      <c r="V3" s="341"/>
      <c r="W3" s="341"/>
      <c r="X3" s="341"/>
      <c r="Y3" s="341"/>
    </row>
    <row r="4" spans="1:25" s="331" customFormat="1" ht="16.5" customHeight="1" x14ac:dyDescent="0.25">
      <c r="A4" s="340">
        <v>2</v>
      </c>
      <c r="B4" s="342" t="s">
        <v>67</v>
      </c>
      <c r="C4" s="341"/>
      <c r="D4" s="341"/>
      <c r="E4" s="341"/>
      <c r="F4" s="341"/>
      <c r="G4" s="341"/>
      <c r="H4" s="341"/>
      <c r="I4" s="341"/>
      <c r="J4" s="341"/>
      <c r="K4" s="341"/>
      <c r="L4" s="341"/>
      <c r="M4" s="341"/>
      <c r="N4" s="341"/>
      <c r="O4" s="341"/>
      <c r="P4" s="341"/>
      <c r="Q4" s="341"/>
      <c r="R4" s="341"/>
      <c r="S4" s="341"/>
      <c r="T4" s="341"/>
      <c r="U4" s="341"/>
      <c r="V4" s="341"/>
      <c r="W4" s="341"/>
      <c r="X4" s="341"/>
      <c r="Y4" s="341"/>
    </row>
    <row r="5" spans="1:25" s="331" customFormat="1" ht="16.5" customHeight="1" x14ac:dyDescent="0.25">
      <c r="A5" s="340">
        <v>3</v>
      </c>
      <c r="B5" s="341" t="s">
        <v>17</v>
      </c>
      <c r="C5" s="341"/>
      <c r="D5" s="341"/>
      <c r="E5" s="341"/>
      <c r="F5" s="341"/>
      <c r="G5" s="341"/>
      <c r="H5" s="341"/>
      <c r="I5" s="341"/>
      <c r="J5" s="341"/>
      <c r="K5" s="341"/>
      <c r="L5" s="341"/>
      <c r="M5" s="341"/>
      <c r="N5" s="341"/>
      <c r="O5" s="341"/>
      <c r="P5" s="341"/>
      <c r="Q5" s="341"/>
      <c r="R5" s="341"/>
      <c r="S5" s="341"/>
      <c r="T5" s="341"/>
      <c r="U5" s="341"/>
      <c r="V5" s="341"/>
      <c r="W5" s="341"/>
      <c r="X5" s="341"/>
      <c r="Y5" s="341"/>
    </row>
    <row r="6" spans="1:25" s="331" customFormat="1" ht="16.5" customHeight="1" x14ac:dyDescent="0.25">
      <c r="A6" s="340">
        <v>4</v>
      </c>
      <c r="B6" s="341" t="s">
        <v>18</v>
      </c>
      <c r="C6" s="341"/>
      <c r="D6" s="341"/>
      <c r="E6" s="341"/>
      <c r="F6" s="341"/>
      <c r="G6" s="341"/>
      <c r="H6" s="341"/>
      <c r="I6" s="341"/>
      <c r="J6" s="341"/>
      <c r="K6" s="341"/>
      <c r="L6" s="341"/>
      <c r="M6" s="341"/>
      <c r="N6" s="341"/>
      <c r="O6" s="341"/>
      <c r="P6" s="341"/>
      <c r="Q6" s="341"/>
      <c r="R6" s="341"/>
      <c r="S6" s="341"/>
      <c r="T6" s="341"/>
      <c r="U6" s="341"/>
      <c r="V6" s="341"/>
      <c r="W6" s="341"/>
      <c r="X6" s="341"/>
      <c r="Y6" s="341"/>
    </row>
    <row r="7" spans="1:25" s="331" customFormat="1" ht="16.5" customHeight="1" x14ac:dyDescent="0.25">
      <c r="A7" s="340">
        <v>5</v>
      </c>
      <c r="B7" s="341" t="s">
        <v>19</v>
      </c>
      <c r="C7" s="341"/>
      <c r="D7" s="341"/>
      <c r="E7" s="341"/>
      <c r="F7" s="341"/>
      <c r="G7" s="341"/>
      <c r="H7" s="341"/>
      <c r="I7" s="341"/>
      <c r="J7" s="341"/>
      <c r="K7" s="341"/>
      <c r="L7" s="341"/>
      <c r="M7" s="341"/>
      <c r="N7" s="341"/>
      <c r="O7" s="341"/>
      <c r="P7" s="341"/>
      <c r="Q7" s="341"/>
      <c r="R7" s="341"/>
      <c r="S7" s="341"/>
      <c r="T7" s="341"/>
      <c r="U7" s="341"/>
      <c r="V7" s="341"/>
      <c r="W7" s="341"/>
      <c r="X7" s="341"/>
      <c r="Y7" s="341"/>
    </row>
    <row r="8" spans="1:25" s="331" customFormat="1" ht="16.5" customHeight="1" x14ac:dyDescent="0.25">
      <c r="A8" s="340">
        <v>6</v>
      </c>
      <c r="B8" s="341" t="s">
        <v>20</v>
      </c>
      <c r="C8" s="341"/>
      <c r="D8" s="341"/>
      <c r="E8" s="341"/>
      <c r="F8" s="341"/>
      <c r="G8" s="341"/>
      <c r="H8" s="341"/>
      <c r="I8" s="341"/>
      <c r="J8" s="341"/>
      <c r="K8" s="341"/>
      <c r="L8" s="341"/>
      <c r="M8" s="341"/>
      <c r="N8" s="341"/>
      <c r="O8" s="341"/>
      <c r="P8" s="341"/>
      <c r="Q8" s="341"/>
      <c r="R8" s="341"/>
      <c r="S8" s="341"/>
      <c r="T8" s="341"/>
      <c r="U8" s="341"/>
      <c r="V8" s="341"/>
      <c r="W8" s="341"/>
      <c r="X8" s="341"/>
      <c r="Y8" s="341"/>
    </row>
    <row r="9" spans="1:25" s="331" customFormat="1" ht="16.5" customHeight="1" x14ac:dyDescent="0.25">
      <c r="A9" s="340">
        <v>7</v>
      </c>
      <c r="B9" s="341" t="s">
        <v>21</v>
      </c>
      <c r="C9" s="341"/>
      <c r="D9" s="341"/>
      <c r="E9" s="341"/>
      <c r="F9" s="341"/>
      <c r="G9" s="341"/>
      <c r="H9" s="341"/>
      <c r="I9" s="341"/>
      <c r="J9" s="341"/>
      <c r="K9" s="341"/>
      <c r="L9" s="341"/>
      <c r="M9" s="341"/>
      <c r="N9" s="341"/>
      <c r="O9" s="341"/>
      <c r="P9" s="341"/>
      <c r="Q9" s="341"/>
      <c r="R9" s="341"/>
      <c r="S9" s="341"/>
      <c r="T9" s="341"/>
      <c r="U9" s="341"/>
      <c r="V9" s="341"/>
      <c r="W9" s="341"/>
      <c r="X9" s="341"/>
      <c r="Y9" s="341"/>
    </row>
    <row r="10" spans="1:25" s="331" customFormat="1" ht="16.5" customHeight="1" x14ac:dyDescent="0.25">
      <c r="A10" s="340">
        <v>8</v>
      </c>
      <c r="B10" s="342" t="s">
        <v>69</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row>
    <row r="11" spans="1:25" s="331" customFormat="1" ht="16.5" customHeight="1" x14ac:dyDescent="0.25">
      <c r="A11" s="340">
        <v>9</v>
      </c>
      <c r="B11" s="341" t="s">
        <v>22</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row>
    <row r="12" spans="1:25" s="331" customFormat="1" ht="16.5" customHeight="1" x14ac:dyDescent="0.25">
      <c r="A12" s="340">
        <v>10</v>
      </c>
      <c r="B12" s="341" t="s">
        <v>78</v>
      </c>
      <c r="C12" s="341"/>
      <c r="D12" s="341"/>
      <c r="E12" s="341"/>
      <c r="F12" s="341"/>
      <c r="G12" s="341"/>
      <c r="H12" s="341"/>
      <c r="I12" s="341"/>
      <c r="J12" s="341"/>
      <c r="K12" s="341"/>
      <c r="L12" s="341"/>
      <c r="M12" s="341"/>
      <c r="N12" s="341"/>
      <c r="O12" s="341"/>
      <c r="P12" s="341"/>
      <c r="Q12" s="341"/>
      <c r="R12" s="341"/>
      <c r="S12" s="341"/>
      <c r="T12" s="341"/>
      <c r="U12" s="341"/>
      <c r="V12" s="341"/>
      <c r="W12" s="341"/>
      <c r="X12" s="341"/>
      <c r="Y12" s="341"/>
    </row>
    <row r="13" spans="1:25" s="331" customFormat="1" ht="16.5" customHeight="1" x14ac:dyDescent="0.25">
      <c r="A13" s="340">
        <v>11</v>
      </c>
      <c r="B13" s="343" t="s">
        <v>84</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row>
    <row r="14" spans="1:25" s="331" customFormat="1" ht="16.5" customHeight="1" x14ac:dyDescent="0.25">
      <c r="A14" s="340">
        <v>12</v>
      </c>
      <c r="B14" s="341" t="s">
        <v>33</v>
      </c>
      <c r="C14" s="341"/>
      <c r="D14" s="341"/>
      <c r="E14" s="341"/>
      <c r="F14" s="341"/>
      <c r="G14" s="341"/>
      <c r="H14" s="341"/>
      <c r="I14" s="341"/>
      <c r="J14" s="341"/>
      <c r="K14" s="341"/>
      <c r="L14" s="341"/>
      <c r="M14" s="341"/>
      <c r="N14" s="341"/>
      <c r="O14" s="341"/>
      <c r="P14" s="341"/>
      <c r="Q14" s="341"/>
      <c r="R14" s="341"/>
      <c r="S14" s="341"/>
      <c r="T14" s="341"/>
      <c r="U14" s="341"/>
      <c r="V14" s="341"/>
      <c r="W14" s="341"/>
      <c r="X14" s="341"/>
      <c r="Y14" s="341"/>
    </row>
    <row r="15" spans="1:25" s="331" customFormat="1" ht="16.5" customHeight="1" x14ac:dyDescent="0.25">
      <c r="A15" s="340">
        <v>13</v>
      </c>
      <c r="B15" s="341" t="s">
        <v>34</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row>
    <row r="16" spans="1:25" s="331" customFormat="1" ht="16.5" customHeight="1" x14ac:dyDescent="0.25">
      <c r="A16" s="340">
        <v>14</v>
      </c>
      <c r="B16" s="341" t="s">
        <v>39</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row>
    <row r="17" spans="1:25" s="331" customFormat="1" ht="16.5" customHeight="1" x14ac:dyDescent="0.25">
      <c r="A17" s="340">
        <v>15</v>
      </c>
      <c r="B17" s="341" t="s">
        <v>72</v>
      </c>
      <c r="C17" s="341"/>
      <c r="D17" s="341"/>
      <c r="E17" s="341"/>
      <c r="F17" s="341"/>
      <c r="G17" s="341"/>
      <c r="H17" s="341"/>
      <c r="I17" s="341"/>
      <c r="J17" s="341"/>
      <c r="K17" s="341"/>
      <c r="L17" s="341"/>
      <c r="M17" s="341"/>
      <c r="N17" s="341"/>
      <c r="O17" s="341"/>
      <c r="P17" s="341"/>
      <c r="Q17" s="341"/>
      <c r="R17" s="341"/>
      <c r="S17" s="341"/>
      <c r="T17" s="341"/>
      <c r="U17" s="341"/>
      <c r="V17" s="341"/>
      <c r="W17" s="341"/>
      <c r="X17" s="341"/>
      <c r="Y17" s="341"/>
    </row>
    <row r="18" spans="1:25" s="331" customFormat="1" ht="16.5" customHeight="1" x14ac:dyDescent="0.25">
      <c r="A18" s="340">
        <v>16</v>
      </c>
      <c r="B18" s="341" t="s">
        <v>59</v>
      </c>
      <c r="C18" s="341"/>
      <c r="D18" s="341"/>
      <c r="E18" s="341"/>
      <c r="F18" s="341"/>
      <c r="G18" s="341"/>
      <c r="H18" s="341"/>
      <c r="I18" s="341"/>
      <c r="J18" s="341"/>
      <c r="K18" s="341"/>
      <c r="L18" s="341"/>
      <c r="M18" s="341"/>
      <c r="N18" s="341"/>
      <c r="O18" s="341"/>
      <c r="P18" s="341"/>
      <c r="Q18" s="341"/>
      <c r="R18" s="341"/>
      <c r="S18" s="341"/>
      <c r="T18" s="341"/>
      <c r="U18" s="341"/>
      <c r="V18" s="341"/>
      <c r="W18" s="341"/>
      <c r="X18" s="341"/>
      <c r="Y18" s="341"/>
    </row>
    <row r="19" spans="1:25" s="331" customFormat="1" ht="16.5" customHeight="1" x14ac:dyDescent="0.25">
      <c r="A19" s="340">
        <v>17</v>
      </c>
      <c r="B19" s="342" t="s">
        <v>73</v>
      </c>
      <c r="C19" s="341"/>
      <c r="D19" s="341"/>
      <c r="E19" s="341"/>
      <c r="F19" s="341"/>
      <c r="G19" s="341"/>
      <c r="H19" s="341"/>
      <c r="I19" s="341"/>
      <c r="J19" s="341"/>
      <c r="K19" s="341"/>
      <c r="L19" s="341"/>
      <c r="M19" s="341"/>
      <c r="N19" s="341"/>
      <c r="O19" s="341"/>
      <c r="P19" s="341"/>
      <c r="Q19" s="341"/>
      <c r="R19" s="341"/>
      <c r="S19" s="341"/>
      <c r="T19" s="341"/>
      <c r="U19" s="341"/>
      <c r="V19" s="341"/>
      <c r="W19" s="341"/>
      <c r="X19" s="341"/>
      <c r="Y19" s="341"/>
    </row>
    <row r="20" spans="1:25" s="331" customFormat="1" ht="16.5" customHeight="1" x14ac:dyDescent="0.25">
      <c r="A20" s="340">
        <v>18</v>
      </c>
      <c r="B20" s="342" t="s">
        <v>61</v>
      </c>
      <c r="C20" s="341"/>
      <c r="D20" s="341"/>
      <c r="E20" s="341"/>
      <c r="F20" s="341"/>
      <c r="G20" s="341"/>
      <c r="H20" s="341"/>
      <c r="I20" s="341"/>
      <c r="J20" s="341"/>
      <c r="K20" s="341"/>
      <c r="L20" s="341"/>
      <c r="M20" s="341"/>
      <c r="N20" s="341"/>
      <c r="O20" s="341"/>
      <c r="P20" s="341"/>
      <c r="Q20" s="341"/>
      <c r="R20" s="341"/>
      <c r="S20" s="341"/>
      <c r="T20" s="341"/>
      <c r="U20" s="341"/>
      <c r="V20" s="341"/>
      <c r="W20" s="341"/>
      <c r="X20" s="341"/>
      <c r="Y20" s="341"/>
    </row>
    <row r="21" spans="1:25" s="331" customFormat="1" ht="16.5" customHeight="1" x14ac:dyDescent="0.25">
      <c r="A21" s="340">
        <v>19</v>
      </c>
      <c r="B21" s="342" t="s">
        <v>62</v>
      </c>
      <c r="C21" s="341"/>
      <c r="D21" s="341"/>
      <c r="E21" s="341"/>
      <c r="F21" s="341"/>
      <c r="G21" s="341"/>
      <c r="H21" s="341"/>
      <c r="I21" s="341"/>
      <c r="J21" s="341"/>
      <c r="K21" s="341"/>
      <c r="L21" s="341"/>
      <c r="M21" s="341"/>
      <c r="N21" s="341"/>
      <c r="O21" s="341"/>
      <c r="P21" s="341"/>
      <c r="Q21" s="341"/>
      <c r="R21" s="341"/>
      <c r="S21" s="341"/>
      <c r="T21" s="341"/>
      <c r="U21" s="341"/>
      <c r="V21" s="341"/>
      <c r="W21" s="341"/>
      <c r="X21" s="341"/>
      <c r="Y21" s="341"/>
    </row>
    <row r="22" spans="1:25" s="331" customFormat="1" ht="16.5" customHeight="1" x14ac:dyDescent="0.25">
      <c r="A22" s="340">
        <v>20</v>
      </c>
      <c r="B22" s="342" t="s">
        <v>63</v>
      </c>
      <c r="C22" s="341"/>
      <c r="D22" s="341"/>
      <c r="E22" s="341"/>
      <c r="F22" s="341"/>
      <c r="G22" s="341"/>
      <c r="H22" s="341"/>
      <c r="I22" s="341"/>
      <c r="J22" s="341"/>
      <c r="K22" s="341"/>
      <c r="L22" s="341"/>
      <c r="M22" s="341"/>
      <c r="N22" s="341"/>
      <c r="O22" s="341"/>
      <c r="P22" s="341"/>
      <c r="Q22" s="341"/>
      <c r="R22" s="341"/>
      <c r="S22" s="341"/>
      <c r="T22" s="341"/>
      <c r="U22" s="341"/>
      <c r="V22" s="341"/>
      <c r="W22" s="341"/>
      <c r="X22" s="341"/>
      <c r="Y22" s="341"/>
    </row>
    <row r="23" spans="1:25" s="331" customFormat="1" ht="16.5" customHeight="1" x14ac:dyDescent="0.25">
      <c r="A23" s="340">
        <v>21</v>
      </c>
      <c r="B23" s="341" t="s">
        <v>60</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row>
    <row r="24" spans="1:25" s="331" customFormat="1" ht="16.5" customHeight="1" x14ac:dyDescent="0.25">
      <c r="A24" s="340">
        <v>22</v>
      </c>
      <c r="B24" s="342" t="s">
        <v>77</v>
      </c>
      <c r="C24" s="341"/>
      <c r="D24" s="341"/>
      <c r="E24" s="341"/>
      <c r="F24" s="341"/>
      <c r="G24" s="341"/>
      <c r="H24" s="341"/>
      <c r="I24" s="341"/>
      <c r="J24" s="341"/>
      <c r="K24" s="341"/>
      <c r="L24" s="341"/>
      <c r="M24" s="341"/>
      <c r="N24" s="341"/>
      <c r="O24" s="341"/>
      <c r="P24" s="341"/>
      <c r="Q24" s="341"/>
      <c r="R24" s="341"/>
      <c r="S24" s="341"/>
      <c r="T24" s="341"/>
      <c r="U24" s="341"/>
      <c r="V24" s="341"/>
      <c r="W24" s="341"/>
      <c r="X24" s="341"/>
      <c r="Y24" s="341"/>
    </row>
    <row r="25" spans="1:25" s="331" customFormat="1" ht="16.5" customHeight="1" x14ac:dyDescent="0.25">
      <c r="A25" s="340">
        <v>23</v>
      </c>
      <c r="B25" s="474" t="s">
        <v>79</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row>
    <row r="26" spans="1:25" s="331" customFormat="1" ht="16.5" customHeight="1" x14ac:dyDescent="0.25">
      <c r="A26" s="340">
        <v>24</v>
      </c>
      <c r="B26" s="342" t="s">
        <v>80</v>
      </c>
      <c r="C26" s="341"/>
      <c r="D26" s="341"/>
      <c r="E26" s="341"/>
      <c r="F26" s="341"/>
      <c r="G26" s="341"/>
      <c r="H26" s="341"/>
      <c r="I26" s="341"/>
      <c r="J26" s="341"/>
      <c r="K26" s="341"/>
      <c r="L26" s="341"/>
      <c r="M26" s="341"/>
      <c r="N26" s="341"/>
      <c r="O26" s="341"/>
      <c r="P26" s="341"/>
      <c r="Q26" s="341"/>
      <c r="R26" s="341"/>
      <c r="S26" s="341"/>
      <c r="T26" s="341"/>
      <c r="U26" s="341"/>
      <c r="V26" s="341"/>
      <c r="W26" s="341"/>
      <c r="X26" s="341"/>
      <c r="Y26" s="341"/>
    </row>
    <row r="27" spans="1:25" s="331" customFormat="1" ht="16.5" customHeight="1" x14ac:dyDescent="0.25">
      <c r="A27" s="340">
        <v>25</v>
      </c>
      <c r="B27" s="344" t="s">
        <v>97</v>
      </c>
      <c r="C27" s="341"/>
      <c r="D27" s="341"/>
      <c r="E27" s="341"/>
      <c r="F27" s="341"/>
      <c r="G27" s="341"/>
      <c r="H27" s="341"/>
      <c r="I27" s="341"/>
      <c r="J27" s="341"/>
      <c r="K27" s="341"/>
      <c r="L27" s="341"/>
      <c r="M27" s="341"/>
      <c r="N27" s="341"/>
      <c r="O27" s="341"/>
      <c r="P27" s="341"/>
      <c r="Q27" s="341"/>
      <c r="R27" s="341"/>
      <c r="S27" s="341"/>
      <c r="T27" s="341"/>
      <c r="U27" s="341"/>
      <c r="V27" s="341"/>
      <c r="W27" s="341"/>
      <c r="X27" s="341"/>
      <c r="Y27" s="341"/>
    </row>
    <row r="28" spans="1:25" s="331" customFormat="1" ht="16.5" customHeight="1" x14ac:dyDescent="0.25">
      <c r="A28" s="340">
        <v>26</v>
      </c>
      <c r="B28" s="344" t="s">
        <v>81</v>
      </c>
      <c r="C28" s="341"/>
      <c r="D28" s="341"/>
      <c r="E28" s="341"/>
      <c r="F28" s="341"/>
      <c r="G28" s="341"/>
      <c r="H28" s="341"/>
      <c r="I28" s="341"/>
      <c r="J28" s="341"/>
      <c r="K28" s="341"/>
      <c r="L28" s="341"/>
      <c r="M28" s="341"/>
      <c r="N28" s="341"/>
      <c r="O28" s="341"/>
      <c r="P28" s="341"/>
      <c r="Q28" s="341"/>
      <c r="R28" s="341"/>
      <c r="S28" s="341"/>
      <c r="T28" s="341"/>
      <c r="U28" s="341"/>
      <c r="V28" s="341"/>
      <c r="W28" s="341"/>
      <c r="X28" s="341"/>
      <c r="Y28" s="341"/>
    </row>
    <row r="29" spans="1:25" s="331" customFormat="1" ht="16.5" customHeight="1" x14ac:dyDescent="0.25">
      <c r="A29" s="340">
        <v>27</v>
      </c>
      <c r="B29" s="341" t="s">
        <v>142</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row>
    <row r="30" spans="1:25" s="331" customFormat="1" ht="16.5" customHeight="1" x14ac:dyDescent="0.25">
      <c r="A30" s="340">
        <v>28</v>
      </c>
      <c r="B30" s="341" t="s">
        <v>82</v>
      </c>
      <c r="C30" s="341"/>
      <c r="D30" s="341"/>
      <c r="E30" s="341"/>
      <c r="F30" s="341"/>
      <c r="G30" s="341"/>
      <c r="H30" s="341"/>
      <c r="I30" s="341"/>
      <c r="J30" s="341"/>
      <c r="K30" s="341"/>
      <c r="L30" s="341"/>
      <c r="M30" s="341"/>
      <c r="N30" s="341"/>
      <c r="O30" s="341"/>
      <c r="P30" s="341"/>
      <c r="Q30" s="341"/>
      <c r="R30" s="341"/>
      <c r="S30" s="341"/>
      <c r="T30" s="341"/>
      <c r="U30" s="341"/>
      <c r="V30" s="341"/>
      <c r="W30" s="341"/>
      <c r="X30" s="341"/>
      <c r="Y30" s="341"/>
    </row>
    <row r="31" spans="1:25" s="331" customFormat="1" ht="16.5" customHeight="1" x14ac:dyDescent="0.25">
      <c r="A31" s="340">
        <v>29</v>
      </c>
      <c r="B31" s="341" t="s">
        <v>83</v>
      </c>
      <c r="C31" s="341"/>
      <c r="D31" s="341"/>
      <c r="E31" s="341"/>
      <c r="F31" s="341"/>
      <c r="G31" s="341"/>
      <c r="H31" s="341"/>
      <c r="I31" s="341"/>
      <c r="J31" s="341"/>
      <c r="K31" s="341"/>
      <c r="L31" s="341"/>
      <c r="M31" s="341"/>
      <c r="N31" s="341"/>
      <c r="O31" s="341"/>
      <c r="P31" s="341"/>
      <c r="Q31" s="341"/>
      <c r="R31" s="341"/>
      <c r="S31" s="341"/>
      <c r="T31" s="341"/>
      <c r="U31" s="341"/>
      <c r="V31" s="341"/>
      <c r="W31" s="341"/>
      <c r="X31" s="341"/>
      <c r="Y31" s="341"/>
    </row>
    <row r="32" spans="1:25" s="331" customFormat="1" ht="16.5" customHeight="1" x14ac:dyDescent="0.25">
      <c r="A32" s="345">
        <v>30</v>
      </c>
      <c r="B32" s="346" t="s">
        <v>86</v>
      </c>
      <c r="C32" s="346"/>
      <c r="D32" s="346"/>
      <c r="E32" s="341"/>
      <c r="F32" s="341"/>
      <c r="G32" s="341"/>
      <c r="H32" s="341"/>
      <c r="I32" s="341"/>
      <c r="J32" s="341"/>
      <c r="K32" s="341"/>
      <c r="L32" s="341"/>
      <c r="M32" s="341"/>
      <c r="N32" s="341"/>
      <c r="O32" s="341"/>
      <c r="P32" s="341"/>
      <c r="Q32" s="341"/>
      <c r="R32" s="341"/>
      <c r="S32" s="341"/>
      <c r="T32" s="341"/>
      <c r="U32" s="341"/>
      <c r="V32" s="341"/>
      <c r="W32" s="341"/>
      <c r="X32" s="341"/>
      <c r="Y32" s="341"/>
    </row>
    <row r="33" spans="1:25" s="331" customFormat="1" ht="16.5" customHeight="1" x14ac:dyDescent="0.25">
      <c r="A33" s="345">
        <v>31</v>
      </c>
      <c r="B33" s="346" t="s">
        <v>87</v>
      </c>
      <c r="C33" s="346"/>
      <c r="D33" s="346"/>
      <c r="E33" s="341"/>
      <c r="F33" s="341"/>
      <c r="G33" s="341"/>
      <c r="H33" s="341"/>
      <c r="I33" s="341"/>
      <c r="J33" s="341"/>
      <c r="K33" s="341"/>
      <c r="L33" s="341"/>
      <c r="M33" s="341"/>
      <c r="N33" s="341"/>
      <c r="O33" s="341"/>
      <c r="P33" s="341"/>
      <c r="Q33" s="341"/>
      <c r="R33" s="341"/>
      <c r="S33" s="341"/>
      <c r="T33" s="341"/>
      <c r="U33" s="341"/>
      <c r="V33" s="341"/>
      <c r="W33" s="341"/>
      <c r="X33" s="341"/>
      <c r="Y33" s="341"/>
    </row>
    <row r="34" spans="1:25" x14ac:dyDescent="0.2">
      <c r="A34" s="339"/>
      <c r="B34" s="337"/>
      <c r="C34" s="337"/>
      <c r="D34" s="337"/>
    </row>
    <row r="35" spans="1:25" x14ac:dyDescent="0.2">
      <c r="A35" s="476" t="s">
        <v>480</v>
      </c>
    </row>
  </sheetData>
  <sheetProtection formatCells="0" formatColumns="0" formatRows="0" insertColumns="0" insertRows="0"/>
  <customSheetViews>
    <customSheetView guid="{E65377FD-65C5-4E48-ADBC-1C49981F2400}" topLeftCell="A7">
      <selection activeCell="B28" sqref="B28"/>
      <pageMargins left="0.7" right="0.7" top="0.75" bottom="0.75" header="0.3" footer="0.3"/>
      <pageSetup orientation="portrait" r:id="rId1"/>
    </customSheetView>
  </customSheetViews>
  <mergeCells count="1">
    <mergeCell ref="B25:Y25"/>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6"/>
  <sheetViews>
    <sheetView showGridLines="0" topLeftCell="A4" workbookViewId="0">
      <selection activeCell="A19" sqref="A19"/>
    </sheetView>
  </sheetViews>
  <sheetFormatPr defaultColWidth="9.140625" defaultRowHeight="15" x14ac:dyDescent="0.25"/>
  <cols>
    <col min="1" max="1" width="11.7109375" style="19" customWidth="1"/>
    <col min="2" max="2" width="58.140625" style="331" customWidth="1"/>
    <col min="3" max="3" width="4.42578125" style="331" customWidth="1"/>
    <col min="4" max="4" width="11.7109375" style="331" customWidth="1"/>
    <col min="5" max="5" width="42.28515625" style="331" customWidth="1"/>
    <col min="6" max="16384" width="9.140625" style="331"/>
  </cols>
  <sheetData>
    <row r="1" spans="1:5" ht="33.75" x14ac:dyDescent="0.5">
      <c r="A1" s="365" t="s">
        <v>205</v>
      </c>
    </row>
    <row r="2" spans="1:5" x14ac:dyDescent="0.25">
      <c r="A2" s="23"/>
    </row>
    <row r="3" spans="1:5" ht="18.75" x14ac:dyDescent="0.3">
      <c r="A3" s="347" t="s">
        <v>74</v>
      </c>
      <c r="B3" s="348" t="s">
        <v>206</v>
      </c>
      <c r="C3" s="349"/>
      <c r="D3" s="347" t="s">
        <v>24</v>
      </c>
      <c r="E3" s="348" t="s">
        <v>221</v>
      </c>
    </row>
    <row r="4" spans="1:5" ht="18.75" x14ac:dyDescent="0.3">
      <c r="A4" s="347" t="s">
        <v>6</v>
      </c>
      <c r="B4" s="348" t="s">
        <v>207</v>
      </c>
      <c r="C4" s="349"/>
      <c r="D4" s="347" t="s">
        <v>27</v>
      </c>
      <c r="E4" s="348" t="s">
        <v>222</v>
      </c>
    </row>
    <row r="5" spans="1:5" ht="18.75" x14ac:dyDescent="0.3">
      <c r="A5" s="350" t="s">
        <v>88</v>
      </c>
      <c r="B5" s="351" t="s">
        <v>208</v>
      </c>
      <c r="C5" s="352"/>
      <c r="D5" s="347" t="s">
        <v>64</v>
      </c>
      <c r="E5" s="348" t="s">
        <v>223</v>
      </c>
    </row>
    <row r="6" spans="1:5" ht="18.75" x14ac:dyDescent="0.3">
      <c r="A6" s="353" t="s">
        <v>26</v>
      </c>
      <c r="B6" s="354" t="s">
        <v>209</v>
      </c>
      <c r="C6" s="352"/>
      <c r="D6" s="347" t="s">
        <v>65</v>
      </c>
      <c r="E6" s="348" t="s">
        <v>224</v>
      </c>
    </row>
    <row r="7" spans="1:5" ht="18.75" x14ac:dyDescent="0.3">
      <c r="A7" s="347" t="s">
        <v>7</v>
      </c>
      <c r="B7" s="348" t="s">
        <v>210</v>
      </c>
      <c r="C7" s="352"/>
      <c r="D7" s="347" t="s">
        <v>10</v>
      </c>
      <c r="E7" s="348" t="s">
        <v>225</v>
      </c>
    </row>
    <row r="8" spans="1:5" ht="18.75" x14ac:dyDescent="0.3">
      <c r="A8" s="347" t="s">
        <v>8</v>
      </c>
      <c r="B8" s="348" t="s">
        <v>211</v>
      </c>
      <c r="C8" s="352"/>
      <c r="D8" s="347" t="s">
        <v>36</v>
      </c>
      <c r="E8" s="348" t="s">
        <v>37</v>
      </c>
    </row>
    <row r="9" spans="1:5" ht="18.75" x14ac:dyDescent="0.3">
      <c r="A9" s="347" t="s">
        <v>30</v>
      </c>
      <c r="B9" s="348" t="s">
        <v>212</v>
      </c>
      <c r="C9" s="352"/>
      <c r="D9" s="347" t="s">
        <v>2</v>
      </c>
      <c r="E9" s="348" t="s">
        <v>226</v>
      </c>
    </row>
    <row r="10" spans="1:5" ht="18.75" x14ac:dyDescent="0.3">
      <c r="A10" s="350" t="s">
        <v>85</v>
      </c>
      <c r="B10" s="351" t="s">
        <v>213</v>
      </c>
      <c r="C10" s="352"/>
      <c r="D10" s="355" t="s">
        <v>66</v>
      </c>
      <c r="E10" s="356" t="s">
        <v>228</v>
      </c>
    </row>
    <row r="11" spans="1:5" ht="18.75" x14ac:dyDescent="0.3">
      <c r="A11" s="347" t="s">
        <v>28</v>
      </c>
      <c r="B11" s="348" t="s">
        <v>214</v>
      </c>
      <c r="C11" s="349"/>
      <c r="D11" s="347" t="s">
        <v>40</v>
      </c>
      <c r="E11" s="348" t="s">
        <v>451</v>
      </c>
    </row>
    <row r="12" spans="1:5" ht="18.75" x14ac:dyDescent="0.3">
      <c r="A12" s="347" t="s">
        <v>41</v>
      </c>
      <c r="B12" s="348" t="s">
        <v>215</v>
      </c>
      <c r="C12" s="349"/>
      <c r="D12" s="349"/>
      <c r="E12" s="349"/>
    </row>
    <row r="13" spans="1:5" ht="18.75" x14ac:dyDescent="0.3">
      <c r="A13" s="347" t="s">
        <v>4</v>
      </c>
      <c r="B13" s="348" t="s">
        <v>216</v>
      </c>
      <c r="C13" s="349"/>
      <c r="D13" s="349"/>
      <c r="E13" s="349"/>
    </row>
    <row r="14" spans="1:5" ht="18.75" x14ac:dyDescent="0.3">
      <c r="A14" s="347" t="s">
        <v>29</v>
      </c>
      <c r="B14" s="348" t="s">
        <v>217</v>
      </c>
      <c r="C14" s="349"/>
      <c r="D14" s="349"/>
      <c r="E14" s="349"/>
    </row>
    <row r="15" spans="1:5" ht="18.75" x14ac:dyDescent="0.3">
      <c r="A15" s="347" t="s">
        <v>38</v>
      </c>
      <c r="B15" s="348" t="s">
        <v>218</v>
      </c>
      <c r="C15" s="349"/>
      <c r="D15" s="349"/>
      <c r="E15" s="349"/>
    </row>
    <row r="16" spans="1:5" ht="18.75" x14ac:dyDescent="0.3">
      <c r="A16" s="347" t="s">
        <v>25</v>
      </c>
      <c r="B16" s="348" t="s">
        <v>219</v>
      </c>
      <c r="C16" s="349"/>
      <c r="D16" s="349"/>
      <c r="E16" s="349"/>
    </row>
    <row r="17" spans="1:5" ht="18.75" x14ac:dyDescent="0.3">
      <c r="A17" s="347" t="s">
        <v>5</v>
      </c>
      <c r="B17" s="348" t="s">
        <v>220</v>
      </c>
      <c r="C17" s="349"/>
      <c r="D17" s="349"/>
      <c r="E17" s="349"/>
    </row>
    <row r="18" spans="1:5" x14ac:dyDescent="0.25">
      <c r="A18" s="331"/>
    </row>
    <row r="19" spans="1:5" x14ac:dyDescent="0.25">
      <c r="A19" s="476" t="s">
        <v>480</v>
      </c>
    </row>
    <row r="20" spans="1:5" x14ac:dyDescent="0.25">
      <c r="A20" s="331"/>
    </row>
    <row r="21" spans="1:5" x14ac:dyDescent="0.25">
      <c r="A21" s="331"/>
    </row>
    <row r="22" spans="1:5" x14ac:dyDescent="0.25">
      <c r="A22" s="331"/>
    </row>
    <row r="23" spans="1:5" x14ac:dyDescent="0.25">
      <c r="A23" s="331"/>
    </row>
    <row r="24" spans="1:5" x14ac:dyDescent="0.25">
      <c r="A24" s="331"/>
    </row>
    <row r="25" spans="1:5" x14ac:dyDescent="0.25">
      <c r="A25" s="331"/>
      <c r="C25" s="10"/>
    </row>
    <row r="26" spans="1:5" x14ac:dyDescent="0.25">
      <c r="A26" s="331"/>
    </row>
  </sheetData>
  <sheetProtection formatCells="0" formatColumns="0" formatRows="0" insertColumns="0" insertRow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sheetPr>
  <dimension ref="A1:J11"/>
  <sheetViews>
    <sheetView showGridLines="0" zoomScale="59" zoomScaleNormal="59" workbookViewId="0">
      <selection activeCell="A5" sqref="A5"/>
    </sheetView>
  </sheetViews>
  <sheetFormatPr defaultColWidth="9.140625" defaultRowHeight="15" x14ac:dyDescent="0.25"/>
  <cols>
    <col min="1" max="1" width="226.7109375" customWidth="1"/>
    <col min="2" max="2" width="12" customWidth="1"/>
  </cols>
  <sheetData>
    <row r="1" spans="1:10" s="334" customFormat="1" ht="30.75" customHeight="1" x14ac:dyDescent="0.5">
      <c r="A1" s="366" t="s">
        <v>227</v>
      </c>
    </row>
    <row r="2" spans="1:10" s="334" customFormat="1" ht="81.75" customHeight="1" thickBot="1" x14ac:dyDescent="0.3">
      <c r="A2" s="335" t="s">
        <v>452</v>
      </c>
    </row>
    <row r="3" spans="1:10" ht="408.75" customHeight="1" thickTop="1" thickBot="1" x14ac:dyDescent="0.3">
      <c r="A3" s="367" t="s">
        <v>453</v>
      </c>
    </row>
    <row r="4" spans="1:10" ht="15.75" thickTop="1" x14ac:dyDescent="0.25">
      <c r="A4" t="s">
        <v>141</v>
      </c>
    </row>
    <row r="5" spans="1:10" x14ac:dyDescent="0.25">
      <c r="A5" s="476" t="s">
        <v>480</v>
      </c>
    </row>
    <row r="7" spans="1:10" s="11" customFormat="1" ht="15" customHeight="1" x14ac:dyDescent="0.25"/>
    <row r="8" spans="1:10" s="11" customFormat="1" ht="19.5" customHeight="1" x14ac:dyDescent="0.25">
      <c r="C8" s="22"/>
      <c r="D8" s="22"/>
      <c r="E8" s="22"/>
      <c r="F8" s="22"/>
      <c r="G8" s="22"/>
      <c r="H8" s="22"/>
      <c r="I8" s="22"/>
      <c r="J8" s="22"/>
    </row>
    <row r="9" spans="1:10" s="11" customFormat="1" ht="16.5" customHeight="1" x14ac:dyDescent="0.25">
      <c r="C9" s="22"/>
      <c r="D9" s="22"/>
      <c r="E9" s="22"/>
      <c r="F9" s="22"/>
      <c r="G9" s="22"/>
      <c r="H9" s="22"/>
      <c r="I9" s="22"/>
      <c r="J9" s="22"/>
    </row>
    <row r="10" spans="1:10" s="11" customFormat="1" ht="15.75" customHeight="1" x14ac:dyDescent="0.25">
      <c r="C10" s="22"/>
      <c r="D10" s="22"/>
      <c r="E10" s="22"/>
      <c r="F10" s="22"/>
      <c r="G10" s="22"/>
      <c r="H10" s="22"/>
      <c r="I10" s="22"/>
      <c r="J10" s="22"/>
    </row>
    <row r="11" spans="1:10" ht="17.25" customHeight="1" x14ac:dyDescent="0.25"/>
  </sheetData>
  <customSheetViews>
    <customSheetView guid="{E65377FD-65C5-4E48-ADBC-1C49981F2400}">
      <selection activeCell="B3" sqref="B3:P3"/>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83"/>
  <sheetViews>
    <sheetView showGridLines="0" topLeftCell="A73" workbookViewId="0">
      <selection activeCell="A83" sqref="A83"/>
    </sheetView>
  </sheetViews>
  <sheetFormatPr defaultColWidth="9.140625" defaultRowHeight="15" x14ac:dyDescent="0.25"/>
  <cols>
    <col min="1" max="1" width="32.7109375" bestFit="1" customWidth="1"/>
    <col min="2" max="2" width="10.140625" bestFit="1" customWidth="1"/>
    <col min="3" max="3" width="15.28515625" customWidth="1"/>
    <col min="4" max="4" width="11.28515625" customWidth="1"/>
    <col min="5" max="5" width="12" customWidth="1"/>
    <col min="6" max="6" width="9.140625" customWidth="1"/>
    <col min="7" max="7" width="15.42578125" bestFit="1" customWidth="1"/>
    <col min="8" max="8" width="14.7109375" customWidth="1"/>
    <col min="9" max="9" width="9.85546875" bestFit="1" customWidth="1"/>
    <col min="10" max="10" width="10.42578125" customWidth="1"/>
    <col min="11" max="11" width="8.28515625" customWidth="1"/>
    <col min="13" max="13" width="26" customWidth="1"/>
    <col min="15" max="15" width="11.28515625" customWidth="1"/>
  </cols>
  <sheetData>
    <row r="1" spans="1:19" ht="33.75" x14ac:dyDescent="0.5">
      <c r="A1" s="363" t="s">
        <v>229</v>
      </c>
      <c r="B1" s="11"/>
      <c r="C1" s="11"/>
      <c r="D1" s="11"/>
      <c r="E1" s="11"/>
      <c r="F1" s="11"/>
      <c r="G1" s="11"/>
      <c r="H1" s="11"/>
      <c r="I1" s="11"/>
    </row>
    <row r="2" spans="1:19" s="273" customFormat="1" x14ac:dyDescent="0.25">
      <c r="A2" s="271"/>
      <c r="B2" s="272"/>
      <c r="C2" s="272"/>
      <c r="D2" s="272"/>
      <c r="E2" s="272"/>
      <c r="F2" s="272"/>
      <c r="G2" s="272"/>
      <c r="H2" s="272"/>
      <c r="I2" s="272"/>
    </row>
    <row r="3" spans="1:19" s="273" customFormat="1" x14ac:dyDescent="0.25">
      <c r="A3" s="292" t="s">
        <v>454</v>
      </c>
      <c r="B3" s="293"/>
      <c r="C3" s="293"/>
      <c r="D3" s="293"/>
      <c r="E3" s="293"/>
      <c r="F3" s="272"/>
      <c r="G3" s="272"/>
      <c r="H3" s="272"/>
      <c r="I3" s="272"/>
    </row>
    <row r="4" spans="1:19" s="273" customFormat="1" ht="18" x14ac:dyDescent="0.35">
      <c r="A4" s="294"/>
      <c r="B4" s="295" t="s">
        <v>112</v>
      </c>
      <c r="C4" s="294" t="s">
        <v>113</v>
      </c>
      <c r="D4" s="295" t="s">
        <v>114</v>
      </c>
      <c r="E4" s="293"/>
      <c r="F4" s="272"/>
      <c r="G4" s="272"/>
      <c r="H4" s="272" t="str">
        <f>A5</f>
        <v>Pembersihan lahan</v>
      </c>
      <c r="I4" s="318">
        <f>B5</f>
        <v>0</v>
      </c>
    </row>
    <row r="5" spans="1:19" s="273" customFormat="1" x14ac:dyDescent="0.25">
      <c r="A5" s="294" t="s">
        <v>230</v>
      </c>
      <c r="B5" s="296">
        <f>'1. Emisi-emisi LUC'!C60</f>
        <v>0</v>
      </c>
      <c r="C5" s="297" t="e">
        <f>B5/'1. Emisi-emisi LUC'!C$59</f>
        <v>#DIV/0!</v>
      </c>
      <c r="D5" s="298" t="e">
        <f>B5/'2. Produksi FFB'!B$8</f>
        <v>#DIV/0!</v>
      </c>
      <c r="E5" s="293"/>
      <c r="F5" s="272"/>
      <c r="G5" s="272"/>
      <c r="H5" s="272" t="str">
        <f>A6</f>
        <v>Penyerapan karbon oleh tanaman</v>
      </c>
      <c r="I5" s="318">
        <f>B6</f>
        <v>0</v>
      </c>
    </row>
    <row r="6" spans="1:19" s="273" customFormat="1" x14ac:dyDescent="0.25">
      <c r="A6" s="294" t="s">
        <v>231</v>
      </c>
      <c r="B6" s="296">
        <f>0-('8. Penyerapan karbon tanaman'!Q31*'1. Emisi-emisi LUC'!C59)</f>
        <v>0</v>
      </c>
      <c r="C6" s="297" t="e">
        <f>B6/'1. Emisi-emisi LUC'!C$59</f>
        <v>#DIV/0!</v>
      </c>
      <c r="D6" s="298" t="e">
        <f>B6/'2. Produksi FFB'!B$8</f>
        <v>#DIV/0!</v>
      </c>
      <c r="E6" s="293"/>
      <c r="F6" s="272"/>
      <c r="G6" s="272"/>
      <c r="H6" s="416" t="s">
        <v>457</v>
      </c>
      <c r="I6" s="318">
        <f>B7+B8</f>
        <v>0</v>
      </c>
    </row>
    <row r="7" spans="1:19" s="273" customFormat="1" x14ac:dyDescent="0.25">
      <c r="A7" s="294" t="s">
        <v>232</v>
      </c>
      <c r="B7" s="296">
        <f>'6. Pupuk dan N2O'!G53+'6. Pupuk dan N2O'!I53</f>
        <v>0</v>
      </c>
      <c r="C7" s="297" t="e">
        <f>B7/'1. Emisi-emisi LUC'!C$59</f>
        <v>#DIV/0!</v>
      </c>
      <c r="D7" s="298" t="e">
        <f>B7/'2. Produksi FFB'!B$8</f>
        <v>#DIV/0!</v>
      </c>
      <c r="E7" s="293"/>
      <c r="F7" s="272"/>
      <c r="G7" s="272"/>
      <c r="H7" s="272" t="str">
        <f t="shared" ref="H7:I9" si="0">A9</f>
        <v>Bahan bakar kebun</v>
      </c>
      <c r="I7" s="318">
        <f t="shared" si="0"/>
        <v>0</v>
      </c>
    </row>
    <row r="8" spans="1:19" s="273" customFormat="1" x14ac:dyDescent="0.25">
      <c r="A8" s="294" t="s">
        <v>9</v>
      </c>
      <c r="B8" s="296">
        <f>'6. Pupuk dan N2O'!E93</f>
        <v>0</v>
      </c>
      <c r="C8" s="297" t="e">
        <f>B8/'1. Emisi-emisi LUC'!C$59</f>
        <v>#DIV/0!</v>
      </c>
      <c r="D8" s="298" t="e">
        <f>B8/'2. Produksi FFB'!B$8</f>
        <v>#DIV/0!</v>
      </c>
      <c r="E8" s="293"/>
      <c r="F8" s="272"/>
      <c r="G8" s="272"/>
      <c r="H8" s="272" t="str">
        <f t="shared" si="0"/>
        <v>Lahan gambut</v>
      </c>
      <c r="I8" s="318">
        <f t="shared" si="0"/>
        <v>0</v>
      </c>
    </row>
    <row r="9" spans="1:19" s="273" customFormat="1" x14ac:dyDescent="0.25">
      <c r="A9" s="294" t="s">
        <v>273</v>
      </c>
      <c r="B9" s="296">
        <f>'3. Bahan bakar kebun'!C17</f>
        <v>0</v>
      </c>
      <c r="C9" s="297" t="e">
        <f>B9/'1. Emisi-emisi LUC'!C$59</f>
        <v>#DIV/0!</v>
      </c>
      <c r="D9" s="298" t="e">
        <f>B9/'2. Produksi FFB'!B$8</f>
        <v>#DIV/0!</v>
      </c>
      <c r="E9" s="293"/>
      <c r="F9" s="272"/>
      <c r="G9" s="272"/>
      <c r="H9" s="272" t="str">
        <f t="shared" si="0"/>
        <v>Kredit konservasi</v>
      </c>
      <c r="I9" s="318">
        <f t="shared" si="0"/>
        <v>0</v>
      </c>
    </row>
    <row r="10" spans="1:19" s="273" customFormat="1" x14ac:dyDescent="0.25">
      <c r="A10" s="294" t="s">
        <v>233</v>
      </c>
      <c r="B10" s="296">
        <f>'4. Lahan gambut'!B18</f>
        <v>0</v>
      </c>
      <c r="C10" s="297" t="e">
        <f>B10/'1. Emisi-emisi LUC'!C$59</f>
        <v>#DIV/0!</v>
      </c>
      <c r="D10" s="298" t="e">
        <f>B10/'2. Produksi FFB'!B$8</f>
        <v>#DIV/0!</v>
      </c>
      <c r="E10" s="293"/>
      <c r="F10" s="272"/>
      <c r="G10" s="272"/>
      <c r="H10" s="272"/>
      <c r="I10" s="272"/>
    </row>
    <row r="11" spans="1:19" s="273" customFormat="1" x14ac:dyDescent="0.25">
      <c r="A11" s="294" t="s">
        <v>234</v>
      </c>
      <c r="B11" s="296">
        <f>0-'7. Penyerapan karbon Area Konse'!C8</f>
        <v>0</v>
      </c>
      <c r="C11" s="297" t="e">
        <f>B11/'1. Emisi-emisi LUC'!C$59</f>
        <v>#DIV/0!</v>
      </c>
      <c r="D11" s="298" t="e">
        <f>B11/'2. Produksi FFB'!B$8</f>
        <v>#DIV/0!</v>
      </c>
      <c r="E11" s="293"/>
      <c r="F11" s="272"/>
      <c r="G11" s="272"/>
      <c r="H11" s="272"/>
      <c r="I11" s="272"/>
    </row>
    <row r="12" spans="1:19" ht="15.75" thickBot="1" x14ac:dyDescent="0.3">
      <c r="A12" s="299" t="s">
        <v>1</v>
      </c>
      <c r="B12" s="300">
        <f>SUM(B5:B11)</f>
        <v>0</v>
      </c>
      <c r="C12" s="300" t="e">
        <f>B12/'1. Emisi-emisi LUC'!C59</f>
        <v>#DIV/0!</v>
      </c>
      <c r="D12" s="301" t="e">
        <f>B12/'2. Produksi FFB'!B$8</f>
        <v>#DIV/0!</v>
      </c>
      <c r="E12" s="294"/>
      <c r="M12" s="149"/>
      <c r="N12" s="149"/>
      <c r="O12" s="149"/>
      <c r="P12" s="149"/>
      <c r="Q12" s="149"/>
      <c r="R12" s="149"/>
      <c r="S12" s="149"/>
    </row>
    <row r="13" spans="1:19" s="304" customFormat="1" ht="15.75" thickTop="1" x14ac:dyDescent="0.25">
      <c r="A13" s="306"/>
      <c r="B13" s="307"/>
      <c r="C13" s="307"/>
      <c r="D13" s="308"/>
      <c r="E13" s="294"/>
      <c r="M13" s="149"/>
      <c r="N13" s="149"/>
      <c r="O13" s="149"/>
      <c r="P13" s="149"/>
      <c r="Q13" s="149"/>
      <c r="R13" s="149"/>
      <c r="S13" s="149"/>
    </row>
    <row r="14" spans="1:19" s="304" customFormat="1" x14ac:dyDescent="0.25">
      <c r="A14" s="309"/>
      <c r="B14" s="310"/>
      <c r="C14" s="310"/>
      <c r="D14" s="311"/>
      <c r="E14" s="149"/>
      <c r="M14" s="149"/>
      <c r="N14" s="149"/>
      <c r="O14" s="149"/>
      <c r="P14" s="149"/>
      <c r="Q14" s="149"/>
      <c r="R14" s="149"/>
      <c r="S14" s="149"/>
    </row>
    <row r="15" spans="1:19" s="304" customFormat="1" x14ac:dyDescent="0.25">
      <c r="A15" s="309"/>
      <c r="B15" s="310"/>
      <c r="C15" s="310"/>
      <c r="D15" s="311"/>
      <c r="E15" s="149"/>
      <c r="M15" s="149"/>
      <c r="N15" s="149"/>
      <c r="O15" s="149"/>
      <c r="P15" s="149"/>
      <c r="Q15" s="149"/>
      <c r="R15" s="149"/>
      <c r="S15" s="149"/>
    </row>
    <row r="16" spans="1:19" s="304" customFormat="1" x14ac:dyDescent="0.25">
      <c r="A16" s="309"/>
      <c r="B16" s="310"/>
      <c r="C16" s="310"/>
      <c r="D16" s="311"/>
      <c r="E16" s="149"/>
      <c r="M16" s="149"/>
      <c r="N16" s="149"/>
      <c r="O16" s="149"/>
      <c r="P16" s="149"/>
      <c r="Q16" s="149"/>
      <c r="R16" s="149"/>
      <c r="S16" s="149"/>
    </row>
    <row r="17" spans="1:19" s="304" customFormat="1" x14ac:dyDescent="0.25">
      <c r="A17" s="309"/>
      <c r="B17" s="310"/>
      <c r="C17" s="310"/>
      <c r="D17" s="311"/>
      <c r="E17" s="149"/>
      <c r="M17" s="149"/>
      <c r="N17" s="149"/>
      <c r="O17" s="149"/>
      <c r="P17" s="149"/>
      <c r="Q17" s="149"/>
      <c r="R17" s="149"/>
      <c r="S17" s="149"/>
    </row>
    <row r="18" spans="1:19" s="317" customFormat="1" ht="15.75" thickBot="1" x14ac:dyDescent="0.3">
      <c r="A18" s="313"/>
      <c r="B18" s="314"/>
      <c r="C18" s="314"/>
      <c r="D18" s="315"/>
      <c r="E18" s="316"/>
      <c r="M18" s="316"/>
      <c r="N18" s="316"/>
      <c r="O18" s="316"/>
      <c r="P18" s="316"/>
      <c r="Q18" s="316"/>
      <c r="R18" s="316"/>
      <c r="S18" s="316"/>
    </row>
    <row r="19" spans="1:19" s="304" customFormat="1" ht="15.75" thickTop="1" x14ac:dyDescent="0.25">
      <c r="A19" s="399" t="s">
        <v>229</v>
      </c>
      <c r="B19" s="310"/>
      <c r="C19" s="310"/>
      <c r="D19" s="311"/>
      <c r="E19" s="149"/>
      <c r="M19" s="149"/>
      <c r="N19" s="149"/>
      <c r="O19" s="149"/>
      <c r="P19" s="149"/>
      <c r="Q19" s="149"/>
      <c r="R19" s="149"/>
      <c r="S19" s="149"/>
    </row>
    <row r="20" spans="1:19" ht="15.75" thickBot="1" x14ac:dyDescent="0.3">
      <c r="A20" s="149"/>
      <c r="B20" s="312"/>
      <c r="C20" s="312"/>
      <c r="D20" s="149"/>
      <c r="E20" s="149"/>
      <c r="G20" s="399" t="s">
        <v>235</v>
      </c>
      <c r="J20" s="237"/>
      <c r="K20" s="238"/>
      <c r="M20" s="149"/>
      <c r="N20" s="150"/>
      <c r="O20" s="150"/>
      <c r="P20" s="150"/>
      <c r="Q20" s="149"/>
      <c r="R20" s="149"/>
      <c r="S20" s="149"/>
    </row>
    <row r="21" spans="1:19" ht="18.75" thickBot="1" x14ac:dyDescent="0.4">
      <c r="B21" s="9"/>
      <c r="C21" s="9"/>
      <c r="G21" s="202" t="s">
        <v>236</v>
      </c>
      <c r="H21" s="241" t="s">
        <v>237</v>
      </c>
      <c r="J21" s="237"/>
      <c r="K21" s="239"/>
      <c r="M21" s="149"/>
      <c r="N21" s="150"/>
      <c r="O21" s="150"/>
      <c r="P21" s="150"/>
      <c r="Q21" s="149"/>
      <c r="R21" s="149"/>
      <c r="S21" s="149"/>
    </row>
    <row r="22" spans="1:19" x14ac:dyDescent="0.25">
      <c r="A22" s="7"/>
      <c r="G22" s="242" t="s">
        <v>26</v>
      </c>
      <c r="H22" s="243" t="e">
        <f>B46</f>
        <v>#DIV/0!</v>
      </c>
      <c r="J22" s="237"/>
      <c r="K22" s="240"/>
      <c r="M22" s="149"/>
      <c r="N22" s="149"/>
      <c r="O22" s="149"/>
      <c r="P22" s="149"/>
      <c r="Q22" s="149"/>
      <c r="R22" s="149"/>
      <c r="S22" s="149"/>
    </row>
    <row r="23" spans="1:19" ht="15.75" thickBot="1" x14ac:dyDescent="0.3">
      <c r="A23" s="417" t="s">
        <v>455</v>
      </c>
      <c r="B23" s="417"/>
      <c r="C23" s="417"/>
      <c r="D23" s="417"/>
      <c r="E23" s="417"/>
      <c r="F23" s="418"/>
      <c r="G23" s="244" t="s">
        <v>27</v>
      </c>
      <c r="H23" s="267" t="e">
        <f>B47</f>
        <v>#DIV/0!</v>
      </c>
      <c r="J23" s="237"/>
      <c r="K23" s="240"/>
      <c r="M23" s="149"/>
      <c r="N23" s="150"/>
      <c r="O23" s="150"/>
      <c r="P23" s="151"/>
      <c r="Q23" s="149"/>
      <c r="R23" s="149"/>
      <c r="S23" s="149"/>
    </row>
    <row r="24" spans="1:19" ht="18" x14ac:dyDescent="0.35">
      <c r="B24" s="35" t="s">
        <v>112</v>
      </c>
      <c r="C24" t="s">
        <v>113</v>
      </c>
      <c r="D24" s="35" t="s">
        <v>114</v>
      </c>
      <c r="F24" s="149"/>
      <c r="G24" s="149"/>
      <c r="H24" s="149"/>
      <c r="J24" s="237"/>
      <c r="K24" s="240"/>
      <c r="M24" s="149"/>
      <c r="N24" s="150"/>
      <c r="O24" s="150"/>
      <c r="P24" s="151"/>
      <c r="Q24" s="149"/>
      <c r="R24" s="149"/>
      <c r="S24" s="149"/>
    </row>
    <row r="25" spans="1:19" x14ac:dyDescent="0.25">
      <c r="A25" s="401" t="s">
        <v>230</v>
      </c>
      <c r="B25" s="60">
        <f>'1. Emisi-emisi LUC'!C60</f>
        <v>0</v>
      </c>
      <c r="C25" s="30" t="e">
        <f>B25/'1. Emisi-emisi LUC'!C$59</f>
        <v>#DIV/0!</v>
      </c>
      <c r="D25" s="3" t="e">
        <f>B25/'2. Produksi FFB'!B$8</f>
        <v>#DIV/0!</v>
      </c>
      <c r="E25" s="3"/>
      <c r="F25" s="217"/>
      <c r="G25" s="218"/>
      <c r="H25" s="218"/>
      <c r="J25" s="237"/>
      <c r="K25" s="240"/>
      <c r="M25" s="149"/>
      <c r="N25" s="150"/>
      <c r="O25" s="150"/>
      <c r="P25" s="151"/>
      <c r="Q25" s="149"/>
      <c r="R25" s="149"/>
      <c r="S25" s="149"/>
    </row>
    <row r="26" spans="1:19" x14ac:dyDescent="0.25">
      <c r="A26" s="401" t="s">
        <v>231</v>
      </c>
      <c r="B26" s="60">
        <f>0-('8. Penyerapan karbon tanaman'!H31*'1. Emisi-emisi LUC'!C59)</f>
        <v>0</v>
      </c>
      <c r="C26" s="30" t="e">
        <f>B26/'1. Emisi-emisi LUC'!C$59</f>
        <v>#DIV/0!</v>
      </c>
      <c r="D26" s="3" t="e">
        <f>B26/'2. Produksi FFB'!B$8</f>
        <v>#DIV/0!</v>
      </c>
      <c r="E26" s="3"/>
      <c r="F26" s="217"/>
      <c r="G26" s="218"/>
      <c r="H26" s="218"/>
      <c r="M26" s="149"/>
      <c r="N26" s="150"/>
      <c r="O26" s="150"/>
      <c r="P26" s="151"/>
      <c r="Q26" s="149"/>
      <c r="R26" s="149"/>
      <c r="S26" s="149"/>
    </row>
    <row r="27" spans="1:19" x14ac:dyDescent="0.25">
      <c r="A27" s="401" t="s">
        <v>232</v>
      </c>
      <c r="B27" s="60">
        <f>'6. Pupuk dan N2O'!G53+'6. Pupuk dan N2O'!I53</f>
        <v>0</v>
      </c>
      <c r="C27" s="30" t="e">
        <f>B27/'1. Emisi-emisi LUC'!C$59</f>
        <v>#DIV/0!</v>
      </c>
      <c r="D27" s="3" t="e">
        <f>B27/'2. Produksi FFB'!B$8</f>
        <v>#DIV/0!</v>
      </c>
      <c r="E27" s="3"/>
      <c r="F27" s="217"/>
      <c r="G27" s="218"/>
      <c r="H27" s="218"/>
      <c r="M27" s="149"/>
      <c r="N27" s="150"/>
      <c r="O27" s="150"/>
      <c r="P27" s="151"/>
      <c r="Q27" s="149"/>
      <c r="R27" s="149"/>
      <c r="S27" s="149"/>
    </row>
    <row r="28" spans="1:19" x14ac:dyDescent="0.25">
      <c r="A28" t="s">
        <v>9</v>
      </c>
      <c r="B28" s="60">
        <f>'6. Pupuk dan N2O'!E93</f>
        <v>0</v>
      </c>
      <c r="C28" s="30" t="e">
        <f>B28/'1. Emisi-emisi LUC'!C$59</f>
        <v>#DIV/0!</v>
      </c>
      <c r="D28" s="3" t="e">
        <f>B28/'2. Produksi FFB'!B$8</f>
        <v>#DIV/0!</v>
      </c>
      <c r="E28" s="3"/>
      <c r="F28" s="217"/>
      <c r="G28" s="149"/>
      <c r="H28" s="149" t="s">
        <v>76</v>
      </c>
      <c r="M28" s="149"/>
      <c r="N28" s="149"/>
      <c r="O28" s="149"/>
      <c r="P28" s="149"/>
      <c r="Q28" s="149"/>
      <c r="R28" s="149"/>
      <c r="S28" s="149"/>
    </row>
    <row r="29" spans="1:19" x14ac:dyDescent="0.25">
      <c r="A29" s="405" t="s">
        <v>273</v>
      </c>
      <c r="B29" s="60">
        <f>'3. Bahan bakar kebun'!C17</f>
        <v>0</v>
      </c>
      <c r="C29" s="30" t="e">
        <f>B29/'1. Emisi-emisi LUC'!C$59</f>
        <v>#DIV/0!</v>
      </c>
      <c r="D29" s="3" t="e">
        <f>B29/'2. Produksi FFB'!B$8</f>
        <v>#DIV/0!</v>
      </c>
      <c r="E29" s="3"/>
      <c r="F29" s="217"/>
      <c r="G29" t="str">
        <f>A25</f>
        <v>Pembersihan lahan</v>
      </c>
      <c r="H29" s="134">
        <f>B25</f>
        <v>0</v>
      </c>
      <c r="O29" s="149"/>
      <c r="P29" s="149"/>
      <c r="Q29" s="149"/>
      <c r="R29" s="149"/>
    </row>
    <row r="30" spans="1:19" x14ac:dyDescent="0.25">
      <c r="A30" s="401" t="s">
        <v>233</v>
      </c>
      <c r="B30" s="60">
        <f>'4. Lahan gambut'!B18</f>
        <v>0</v>
      </c>
      <c r="C30" s="30" t="e">
        <f>B30/'1. Emisi-emisi LUC'!C$59</f>
        <v>#DIV/0!</v>
      </c>
      <c r="D30" s="3" t="e">
        <f>B30/'2. Produksi FFB'!B$8</f>
        <v>#DIV/0!</v>
      </c>
      <c r="E30" s="3"/>
      <c r="F30" s="217"/>
      <c r="G30" t="str">
        <f>A26</f>
        <v>Penyerapan karbon oleh tanaman</v>
      </c>
      <c r="H30" s="134">
        <f>B26</f>
        <v>0</v>
      </c>
    </row>
    <row r="31" spans="1:19" x14ac:dyDescent="0.25">
      <c r="A31" s="401" t="s">
        <v>234</v>
      </c>
      <c r="B31" s="60">
        <f>0-'7. Penyerapan karbon Area Konse'!C8</f>
        <v>0</v>
      </c>
      <c r="C31" s="30" t="e">
        <f>B31/'1. Emisi-emisi LUC'!C$59</f>
        <v>#DIV/0!</v>
      </c>
      <c r="D31" s="3" t="e">
        <f>B31/'2. Produksi FFB'!B$8</f>
        <v>#DIV/0!</v>
      </c>
      <c r="E31" s="3"/>
      <c r="F31" s="217"/>
      <c r="G31" t="str">
        <f>A30</f>
        <v>Lahan gambut</v>
      </c>
      <c r="H31" s="134">
        <f>B30</f>
        <v>0</v>
      </c>
    </row>
    <row r="32" spans="1:19" ht="15.75" thickBot="1" x14ac:dyDescent="0.3">
      <c r="A32" s="262" t="s">
        <v>1</v>
      </c>
      <c r="B32" s="233">
        <f>SUM(B25:B31)</f>
        <v>0</v>
      </c>
      <c r="C32" s="233" t="e">
        <f>B32/'1. Emisi-emisi LUC'!C59</f>
        <v>#DIV/0!</v>
      </c>
      <c r="D32" s="234" t="e">
        <f>B32/'2. Produksi FFB'!B$8</f>
        <v>#DIV/0!</v>
      </c>
      <c r="E32" s="3"/>
      <c r="F32" s="219"/>
      <c r="G32" s="416" t="s">
        <v>457</v>
      </c>
      <c r="H32" s="134">
        <f>B27+B28</f>
        <v>0</v>
      </c>
    </row>
    <row r="33" spans="1:8" ht="15.75" thickTop="1" x14ac:dyDescent="0.25">
      <c r="A33" s="21"/>
      <c r="C33" s="60"/>
      <c r="G33" t="str">
        <f>A31</f>
        <v>Kredit konservasi</v>
      </c>
      <c r="H33" s="134">
        <f>B31</f>
        <v>0</v>
      </c>
    </row>
    <row r="34" spans="1:8" x14ac:dyDescent="0.25">
      <c r="B34" s="29"/>
      <c r="C34" s="60"/>
      <c r="G34" t="str">
        <f>A36</f>
        <v>POME</v>
      </c>
      <c r="H34" s="134">
        <f>B36</f>
        <v>0</v>
      </c>
    </row>
    <row r="35" spans="1:8" ht="18" x14ac:dyDescent="0.35">
      <c r="A35" s="399" t="s">
        <v>238</v>
      </c>
      <c r="B35" s="235" t="s">
        <v>115</v>
      </c>
      <c r="C35" s="35" t="s">
        <v>113</v>
      </c>
      <c r="D35" s="35" t="s">
        <v>116</v>
      </c>
      <c r="G35" s="416" t="s">
        <v>458</v>
      </c>
      <c r="H35" s="134">
        <f>B29+B37</f>
        <v>0</v>
      </c>
    </row>
    <row r="36" spans="1:8" x14ac:dyDescent="0.25">
      <c r="A36" t="s">
        <v>10</v>
      </c>
      <c r="B36" s="60">
        <f>'9. Data Mill'!B61</f>
        <v>0</v>
      </c>
      <c r="C36" s="30" t="e">
        <f>B36/'1. Emisi-emisi LUC'!C$59</f>
        <v>#DIV/0!</v>
      </c>
      <c r="D36" s="30" t="e">
        <f>B36/'9. Data Mill'!B$6</f>
        <v>#DIV/0!</v>
      </c>
      <c r="G36" t="str">
        <f>A38</f>
        <v>Listrik yang dibeli</v>
      </c>
      <c r="H36" s="134">
        <f>B38</f>
        <v>0</v>
      </c>
    </row>
    <row r="37" spans="1:8" x14ac:dyDescent="0.25">
      <c r="A37" s="401" t="s">
        <v>239</v>
      </c>
      <c r="B37" s="60">
        <f>'9. Data Mill'!B23</f>
        <v>0</v>
      </c>
      <c r="C37" s="30" t="e">
        <f>B37/'1. Emisi-emisi LUC'!C$59</f>
        <v>#DIV/0!</v>
      </c>
      <c r="D37" s="30" t="e">
        <f>B37/'9. Data Mill'!B$6</f>
        <v>#DIV/0!</v>
      </c>
      <c r="G37" s="416" t="s">
        <v>459</v>
      </c>
      <c r="H37" s="134">
        <f>SUM(B39:B40)</f>
        <v>0</v>
      </c>
    </row>
    <row r="38" spans="1:8" x14ac:dyDescent="0.25">
      <c r="A38" s="149" t="s">
        <v>240</v>
      </c>
      <c r="B38" s="60">
        <f>'9. Data Mill'!B67</f>
        <v>0</v>
      </c>
      <c r="C38" s="30" t="e">
        <f>B38/'1. Emisi-emisi LUC'!C$59</f>
        <v>#DIV/0!</v>
      </c>
      <c r="D38" s="30" t="e">
        <f>B38/'9. Data Mill'!B$6</f>
        <v>#DIV/0!</v>
      </c>
    </row>
    <row r="39" spans="1:8" x14ac:dyDescent="0.25">
      <c r="A39" s="149" t="s">
        <v>241</v>
      </c>
      <c r="B39" s="60">
        <f>0-'9. Data Mill'!B68</f>
        <v>0</v>
      </c>
      <c r="C39" s="30" t="e">
        <f>B39/'1. Emisi-emisi LUC'!C$59</f>
        <v>#DIV/0!</v>
      </c>
      <c r="D39" s="30" t="e">
        <f>B39/'9. Data Mill'!B$6</f>
        <v>#DIV/0!</v>
      </c>
    </row>
    <row r="40" spans="1:8" x14ac:dyDescent="0.25">
      <c r="A40" s="149" t="s">
        <v>456</v>
      </c>
      <c r="B40" s="60">
        <f>0-('9. Data Mill'!B73+'9. Data Mill'!B81)</f>
        <v>0</v>
      </c>
      <c r="C40" s="30" t="e">
        <f>B40/'1. Emisi-emisi LUC'!C$59</f>
        <v>#DIV/0!</v>
      </c>
      <c r="D40" s="30" t="e">
        <f>B40/'9. Data Mill'!B$6</f>
        <v>#DIV/0!</v>
      </c>
    </row>
    <row r="41" spans="1:8" ht="15.75" thickBot="1" x14ac:dyDescent="0.3">
      <c r="A41" s="262" t="s">
        <v>117</v>
      </c>
      <c r="B41" s="233">
        <f>SUM(B36:B40)</f>
        <v>0</v>
      </c>
      <c r="C41" s="233" t="e">
        <f>B41/'1. Emisi-emisi LUC'!C$59</f>
        <v>#DIV/0!</v>
      </c>
      <c r="D41" s="233" t="e">
        <f>B41/'9. Data Mill'!B$6</f>
        <v>#DIV/0!</v>
      </c>
      <c r="E41" s="142"/>
    </row>
    <row r="42" spans="1:8" ht="15.75" thickTop="1" x14ac:dyDescent="0.25">
      <c r="C42" s="60"/>
    </row>
    <row r="43" spans="1:8" ht="30" x14ac:dyDescent="0.25">
      <c r="A43" s="263" t="s">
        <v>274</v>
      </c>
      <c r="B43" s="29">
        <f>B32+B41</f>
        <v>0</v>
      </c>
      <c r="C43" s="60"/>
      <c r="D43" s="30"/>
    </row>
    <row r="44" spans="1:8" x14ac:dyDescent="0.25">
      <c r="A44" s="59"/>
    </row>
    <row r="45" spans="1:8" x14ac:dyDescent="0.25">
      <c r="A45" s="263" t="s">
        <v>242</v>
      </c>
      <c r="C45" s="30"/>
    </row>
    <row r="46" spans="1:8" ht="18" x14ac:dyDescent="0.35">
      <c r="A46" t="s">
        <v>118</v>
      </c>
      <c r="B46" s="30" t="e">
        <f>B43*'Alokasi terhadap produk tanaman'!B9/100/'9. Data Mill'!B9</f>
        <v>#DIV/0!</v>
      </c>
      <c r="C46" s="30"/>
    </row>
    <row r="47" spans="1:8" ht="18" x14ac:dyDescent="0.35">
      <c r="A47" t="s">
        <v>119</v>
      </c>
      <c r="B47" s="30" t="e">
        <f>B43*'Alokasi terhadap produk tanaman'!B10/100/'9. Data Mill'!B10</f>
        <v>#DIV/0!</v>
      </c>
    </row>
    <row r="49" spans="1:21" x14ac:dyDescent="0.25">
      <c r="A49" s="7"/>
      <c r="B49" s="29"/>
      <c r="C49" s="29"/>
    </row>
    <row r="50" spans="1:21" x14ac:dyDescent="0.25">
      <c r="A50" s="59"/>
      <c r="B50" s="1"/>
      <c r="C50" s="1"/>
    </row>
    <row r="51" spans="1:21" x14ac:dyDescent="0.25">
      <c r="B51" s="30"/>
      <c r="C51" s="30"/>
    </row>
    <row r="52" spans="1:21" x14ac:dyDescent="0.25">
      <c r="B52" s="30"/>
      <c r="C52" s="30"/>
    </row>
    <row r="59" spans="1:21" x14ac:dyDescent="0.25">
      <c r="U59" s="134"/>
    </row>
    <row r="60" spans="1:21" x14ac:dyDescent="0.25">
      <c r="U60" s="134"/>
    </row>
    <row r="61" spans="1:21" x14ac:dyDescent="0.25">
      <c r="U61" s="134"/>
    </row>
    <row r="63" spans="1:21" x14ac:dyDescent="0.25">
      <c r="G63" s="304" t="str">
        <f>A25</f>
        <v>Pembersihan lahan</v>
      </c>
      <c r="H63" s="60">
        <f>B25</f>
        <v>0</v>
      </c>
    </row>
    <row r="64" spans="1:21" x14ac:dyDescent="0.25">
      <c r="G64" s="304" t="str">
        <f>A26</f>
        <v>Penyerapan karbon oleh tanaman</v>
      </c>
      <c r="H64" s="60">
        <f>B26</f>
        <v>0</v>
      </c>
    </row>
    <row r="65" spans="7:8" x14ac:dyDescent="0.25">
      <c r="G65" s="416" t="s">
        <v>457</v>
      </c>
      <c r="H65" s="60">
        <f>B27+B28</f>
        <v>0</v>
      </c>
    </row>
    <row r="66" spans="7:8" x14ac:dyDescent="0.25">
      <c r="G66" s="304" t="str">
        <f t="shared" ref="G66:H68" si="1">A29</f>
        <v>Bahan bakar kebun</v>
      </c>
      <c r="H66" s="60">
        <f t="shared" si="1"/>
        <v>0</v>
      </c>
    </row>
    <row r="67" spans="7:8" x14ac:dyDescent="0.25">
      <c r="G67" s="304" t="str">
        <f t="shared" si="1"/>
        <v>Lahan gambut</v>
      </c>
      <c r="H67" s="60">
        <f t="shared" si="1"/>
        <v>0</v>
      </c>
    </row>
    <row r="68" spans="7:8" x14ac:dyDescent="0.25">
      <c r="G68" s="304" t="str">
        <f t="shared" si="1"/>
        <v>Kredit konservasi</v>
      </c>
      <c r="H68" s="60">
        <f t="shared" si="1"/>
        <v>0</v>
      </c>
    </row>
    <row r="83" spans="1:1" x14ac:dyDescent="0.25">
      <c r="A83" s="476" t="s">
        <v>480</v>
      </c>
    </row>
  </sheetData>
  <customSheetViews>
    <customSheetView guid="{E65377FD-65C5-4E48-ADBC-1C49981F2400}">
      <selection activeCell="K15" sqref="K15"/>
      <pageMargins left="0.7" right="0.7" top="0.75" bottom="0.75" header="0.3" footer="0.3"/>
      <pageSetup paperSize="9" orientation="portrait" r:id="rId1"/>
    </customSheetView>
  </customSheetViews>
  <mergeCells count="1">
    <mergeCell ref="A23:F23"/>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63"/>
  <sheetViews>
    <sheetView showGridLines="0" topLeftCell="A46" workbookViewId="0">
      <selection activeCell="A63" sqref="A63"/>
    </sheetView>
  </sheetViews>
  <sheetFormatPr defaultRowHeight="15" x14ac:dyDescent="0.25"/>
  <cols>
    <col min="1" max="1" width="33.42578125" customWidth="1"/>
    <col min="2" max="2" width="17.42578125" customWidth="1"/>
    <col min="3" max="3" width="14.28515625" customWidth="1"/>
    <col min="4" max="4" width="14.42578125" customWidth="1"/>
    <col min="5" max="5" width="15.5703125" customWidth="1"/>
    <col min="6" max="6" width="19.42578125" customWidth="1"/>
    <col min="7" max="7" width="24.85546875" customWidth="1"/>
  </cols>
  <sheetData>
    <row r="1" spans="1:7" ht="37.5" customHeight="1" x14ac:dyDescent="0.5">
      <c r="A1" s="363" t="s">
        <v>243</v>
      </c>
    </row>
    <row r="2" spans="1:7" x14ac:dyDescent="0.25">
      <c r="A2" s="7"/>
    </row>
    <row r="3" spans="1:7" ht="69.75" customHeight="1" x14ac:dyDescent="0.25">
      <c r="A3" s="419" t="s">
        <v>460</v>
      </c>
      <c r="B3" s="420"/>
      <c r="C3" s="420"/>
      <c r="D3" s="420"/>
      <c r="E3" s="420"/>
      <c r="F3" s="420"/>
      <c r="G3" s="421"/>
    </row>
    <row r="4" spans="1:7" ht="15.75" thickBot="1" x14ac:dyDescent="0.3"/>
    <row r="5" spans="1:7" ht="18.75" thickBot="1" x14ac:dyDescent="0.4">
      <c r="A5" s="247" t="s">
        <v>244</v>
      </c>
      <c r="B5" s="248" t="s">
        <v>100</v>
      </c>
      <c r="C5" s="249" t="s">
        <v>110</v>
      </c>
      <c r="G5" s="303"/>
    </row>
    <row r="6" spans="1:7" x14ac:dyDescent="0.25">
      <c r="A6" s="197" t="s">
        <v>245</v>
      </c>
      <c r="B6" s="201">
        <f>'Data default'!G19</f>
        <v>268</v>
      </c>
      <c r="C6" s="198">
        <f>'Data default'!H19</f>
        <v>982.66666666666663</v>
      </c>
      <c r="G6" s="303"/>
    </row>
    <row r="7" spans="1:7" x14ac:dyDescent="0.25">
      <c r="A7" s="197" t="s">
        <v>246</v>
      </c>
      <c r="B7" s="201">
        <f>'Data default'!G20</f>
        <v>128</v>
      </c>
      <c r="C7" s="198">
        <f>'Data default'!H20</f>
        <v>469.33333333333331</v>
      </c>
      <c r="G7" s="303"/>
    </row>
    <row r="8" spans="1:7" x14ac:dyDescent="0.25">
      <c r="A8" s="197" t="s">
        <v>247</v>
      </c>
      <c r="B8" s="201">
        <f>'Data default'!G21</f>
        <v>46</v>
      </c>
      <c r="C8" s="198">
        <f>'Data default'!H21</f>
        <v>168.66666666666666</v>
      </c>
      <c r="G8" s="303"/>
    </row>
    <row r="9" spans="1:7" x14ac:dyDescent="0.25">
      <c r="A9" s="197" t="s">
        <v>248</v>
      </c>
      <c r="B9" s="201">
        <f>'Data default'!G22</f>
        <v>5</v>
      </c>
      <c r="C9" s="198">
        <f>'Data default'!H22</f>
        <v>18.333333333333332</v>
      </c>
      <c r="G9" s="303"/>
    </row>
    <row r="10" spans="1:7" x14ac:dyDescent="0.25">
      <c r="A10" s="197" t="s">
        <v>249</v>
      </c>
      <c r="B10" s="201">
        <f>'Data default'!G23</f>
        <v>75</v>
      </c>
      <c r="C10" s="198">
        <f>'Data default'!H23</f>
        <v>275</v>
      </c>
      <c r="G10" s="303"/>
    </row>
    <row r="11" spans="1:7" x14ac:dyDescent="0.25">
      <c r="A11" s="197" t="s">
        <v>250</v>
      </c>
      <c r="B11" s="201">
        <f>'Data default'!G24</f>
        <v>8.5</v>
      </c>
      <c r="C11" s="198">
        <f>'Data default'!H24</f>
        <v>31.166666666666668</v>
      </c>
      <c r="G11" s="303"/>
    </row>
    <row r="12" spans="1:7" x14ac:dyDescent="0.25">
      <c r="A12" s="286" t="s">
        <v>461</v>
      </c>
      <c r="B12" s="283">
        <f>'8. Penyerapan karbon tanaman'!F31*0.5</f>
        <v>63.83</v>
      </c>
      <c r="C12" s="284">
        <f>B12*44/12</f>
        <v>234.04333333333332</v>
      </c>
      <c r="G12" s="303"/>
    </row>
    <row r="13" spans="1:7" x14ac:dyDescent="0.25">
      <c r="A13" s="286" t="s">
        <v>462</v>
      </c>
      <c r="B13" s="285">
        <f>'8. Penyerapan karbon tanaman'!O31*0.5</f>
        <v>59.284999999999997</v>
      </c>
      <c r="C13" s="284">
        <f t="shared" ref="C13:C21" si="0">B13*44/12</f>
        <v>217.37833333333333</v>
      </c>
      <c r="G13" s="303"/>
    </row>
    <row r="14" spans="1:7" x14ac:dyDescent="0.25">
      <c r="A14" s="199" t="s">
        <v>251</v>
      </c>
      <c r="B14" s="305"/>
      <c r="C14" s="282">
        <f t="shared" si="0"/>
        <v>0</v>
      </c>
      <c r="G14" s="303"/>
    </row>
    <row r="15" spans="1:7" x14ac:dyDescent="0.25">
      <c r="A15" s="199" t="s">
        <v>252</v>
      </c>
      <c r="B15" s="305"/>
      <c r="C15" s="282">
        <f t="shared" si="0"/>
        <v>0</v>
      </c>
      <c r="G15" s="303"/>
    </row>
    <row r="16" spans="1:7" x14ac:dyDescent="0.25">
      <c r="A16" s="199" t="s">
        <v>253</v>
      </c>
      <c r="B16" s="305"/>
      <c r="C16" s="282">
        <f t="shared" si="0"/>
        <v>0</v>
      </c>
    </row>
    <row r="17" spans="1:7" x14ac:dyDescent="0.25">
      <c r="A17" s="199" t="s">
        <v>254</v>
      </c>
      <c r="B17" s="305"/>
      <c r="C17" s="282">
        <f t="shared" si="0"/>
        <v>0</v>
      </c>
    </row>
    <row r="18" spans="1:7" x14ac:dyDescent="0.25">
      <c r="A18" s="199" t="s">
        <v>255</v>
      </c>
      <c r="B18" s="305"/>
      <c r="C18" s="282">
        <f t="shared" si="0"/>
        <v>0</v>
      </c>
    </row>
    <row r="19" spans="1:7" x14ac:dyDescent="0.25">
      <c r="A19" s="199" t="s">
        <v>256</v>
      </c>
      <c r="B19" s="305"/>
      <c r="C19" s="282">
        <f t="shared" si="0"/>
        <v>0</v>
      </c>
    </row>
    <row r="20" spans="1:7" x14ac:dyDescent="0.25">
      <c r="A20" s="199" t="s">
        <v>257</v>
      </c>
      <c r="B20" s="305"/>
      <c r="C20" s="282">
        <f t="shared" si="0"/>
        <v>0</v>
      </c>
    </row>
    <row r="21" spans="1:7" ht="15.75" thickBot="1" x14ac:dyDescent="0.3">
      <c r="A21" s="200" t="s">
        <v>258</v>
      </c>
      <c r="B21" s="305"/>
      <c r="C21" s="394">
        <f t="shared" si="0"/>
        <v>0</v>
      </c>
    </row>
    <row r="23" spans="1:7" ht="45" x14ac:dyDescent="0.25">
      <c r="A23" s="400" t="s">
        <v>259</v>
      </c>
      <c r="B23" s="268">
        <v>5.5</v>
      </c>
    </row>
    <row r="25" spans="1:7" x14ac:dyDescent="0.25">
      <c r="A25" s="399" t="s">
        <v>260</v>
      </c>
    </row>
    <row r="26" spans="1:7" ht="51.75" customHeight="1" x14ac:dyDescent="0.35">
      <c r="A26" s="281" t="s">
        <v>261</v>
      </c>
      <c r="B26" s="279" t="s">
        <v>262</v>
      </c>
      <c r="C26" s="280" t="s">
        <v>263</v>
      </c>
      <c r="D26" s="279" t="s">
        <v>110</v>
      </c>
      <c r="E26" s="279" t="s">
        <v>111</v>
      </c>
      <c r="F26" s="280" t="s">
        <v>463</v>
      </c>
      <c r="G26" s="280" t="s">
        <v>464</v>
      </c>
    </row>
    <row r="27" spans="1:7" x14ac:dyDescent="0.25">
      <c r="A27" s="275"/>
      <c r="B27" s="268"/>
      <c r="C27" s="278">
        <f>B27/(1+$B$23/100)</f>
        <v>0</v>
      </c>
      <c r="D27" s="268"/>
      <c r="E27" s="250">
        <f>B27*D27</f>
        <v>0</v>
      </c>
      <c r="F27" s="250">
        <f>E27/25</f>
        <v>0</v>
      </c>
      <c r="G27" s="250">
        <f>F27+(($B$23/100)*F27)</f>
        <v>0</v>
      </c>
    </row>
    <row r="28" spans="1:7" x14ac:dyDescent="0.25">
      <c r="A28" s="275"/>
      <c r="B28" s="268"/>
      <c r="C28" s="278">
        <f t="shared" ref="C28:C38" si="1">B28/(1+$B$23/100)</f>
        <v>0</v>
      </c>
      <c r="D28" s="305"/>
      <c r="E28" s="250">
        <f>B28*D28</f>
        <v>0</v>
      </c>
      <c r="F28" s="250">
        <f>E28/25</f>
        <v>0</v>
      </c>
      <c r="G28" s="250">
        <f t="shared" ref="G28:G38" si="2">F28+(($B$23/100)*F28)</f>
        <v>0</v>
      </c>
    </row>
    <row r="29" spans="1:7" x14ac:dyDescent="0.25">
      <c r="A29" s="275"/>
      <c r="B29" s="268"/>
      <c r="C29" s="278">
        <f t="shared" si="1"/>
        <v>0</v>
      </c>
      <c r="D29" s="305"/>
      <c r="E29" s="250">
        <f t="shared" ref="E29:E38" si="3">B29*D29</f>
        <v>0</v>
      </c>
      <c r="F29" s="250">
        <f t="shared" ref="F29:F37" si="4">E29/25</f>
        <v>0</v>
      </c>
      <c r="G29" s="250">
        <f t="shared" si="2"/>
        <v>0</v>
      </c>
    </row>
    <row r="30" spans="1:7" x14ac:dyDescent="0.25">
      <c r="A30" s="275"/>
      <c r="B30" s="268"/>
      <c r="C30" s="278">
        <f t="shared" si="1"/>
        <v>0</v>
      </c>
      <c r="D30" s="305"/>
      <c r="E30" s="250">
        <f t="shared" si="3"/>
        <v>0</v>
      </c>
      <c r="F30" s="250">
        <f t="shared" si="4"/>
        <v>0</v>
      </c>
      <c r="G30" s="250">
        <f t="shared" si="2"/>
        <v>0</v>
      </c>
    </row>
    <row r="31" spans="1:7" x14ac:dyDescent="0.25">
      <c r="A31" s="275"/>
      <c r="B31" s="268"/>
      <c r="C31" s="278">
        <f>B31/(1+$B$23/100)</f>
        <v>0</v>
      </c>
      <c r="D31" s="305"/>
      <c r="E31" s="250">
        <f t="shared" si="3"/>
        <v>0</v>
      </c>
      <c r="F31" s="250">
        <f t="shared" si="4"/>
        <v>0</v>
      </c>
      <c r="G31" s="250">
        <f t="shared" si="2"/>
        <v>0</v>
      </c>
    </row>
    <row r="32" spans="1:7" x14ac:dyDescent="0.25">
      <c r="A32" s="275"/>
      <c r="B32" s="268"/>
      <c r="C32" s="278">
        <f>B32/(1+$B$23/100)</f>
        <v>0</v>
      </c>
      <c r="D32" s="268"/>
      <c r="E32" s="250">
        <f t="shared" si="3"/>
        <v>0</v>
      </c>
      <c r="F32" s="250">
        <f t="shared" si="4"/>
        <v>0</v>
      </c>
      <c r="G32" s="250">
        <f t="shared" si="2"/>
        <v>0</v>
      </c>
    </row>
    <row r="33" spans="1:7" x14ac:dyDescent="0.25">
      <c r="A33" s="275"/>
      <c r="B33" s="268"/>
      <c r="C33" s="278">
        <f t="shared" si="1"/>
        <v>0</v>
      </c>
      <c r="D33" s="268"/>
      <c r="E33" s="250">
        <f t="shared" si="3"/>
        <v>0</v>
      </c>
      <c r="F33" s="250">
        <f t="shared" si="4"/>
        <v>0</v>
      </c>
      <c r="G33" s="250">
        <f t="shared" si="2"/>
        <v>0</v>
      </c>
    </row>
    <row r="34" spans="1:7" x14ac:dyDescent="0.25">
      <c r="A34" s="275"/>
      <c r="B34" s="268"/>
      <c r="C34" s="278">
        <f t="shared" si="1"/>
        <v>0</v>
      </c>
      <c r="D34" s="268"/>
      <c r="E34" s="250">
        <f t="shared" si="3"/>
        <v>0</v>
      </c>
      <c r="F34" s="250">
        <f t="shared" si="4"/>
        <v>0</v>
      </c>
      <c r="G34" s="250">
        <f t="shared" si="2"/>
        <v>0</v>
      </c>
    </row>
    <row r="35" spans="1:7" x14ac:dyDescent="0.25">
      <c r="A35" s="275"/>
      <c r="B35" s="268"/>
      <c r="C35" s="278">
        <f t="shared" si="1"/>
        <v>0</v>
      </c>
      <c r="D35" s="268"/>
      <c r="E35" s="250">
        <f t="shared" si="3"/>
        <v>0</v>
      </c>
      <c r="F35" s="250">
        <f t="shared" si="4"/>
        <v>0</v>
      </c>
      <c r="G35" s="250">
        <f t="shared" si="2"/>
        <v>0</v>
      </c>
    </row>
    <row r="36" spans="1:7" x14ac:dyDescent="0.25">
      <c r="A36" s="275"/>
      <c r="B36" s="268"/>
      <c r="C36" s="278">
        <f t="shared" si="1"/>
        <v>0</v>
      </c>
      <c r="D36" s="268"/>
      <c r="E36" s="250">
        <f t="shared" si="3"/>
        <v>0</v>
      </c>
      <c r="F36" s="250">
        <f>E36/25</f>
        <v>0</v>
      </c>
      <c r="G36" s="250">
        <f t="shared" si="2"/>
        <v>0</v>
      </c>
    </row>
    <row r="37" spans="1:7" x14ac:dyDescent="0.25">
      <c r="A37" s="275"/>
      <c r="B37" s="268"/>
      <c r="C37" s="278">
        <f t="shared" si="1"/>
        <v>0</v>
      </c>
      <c r="D37" s="268"/>
      <c r="E37" s="250">
        <f t="shared" si="3"/>
        <v>0</v>
      </c>
      <c r="F37" s="250">
        <f t="shared" si="4"/>
        <v>0</v>
      </c>
      <c r="G37" s="250">
        <f t="shared" si="2"/>
        <v>0</v>
      </c>
    </row>
    <row r="38" spans="1:7" x14ac:dyDescent="0.25">
      <c r="A38" s="275"/>
      <c r="B38" s="268"/>
      <c r="C38" s="278">
        <f t="shared" si="1"/>
        <v>0</v>
      </c>
      <c r="D38" s="268"/>
      <c r="E38" s="250">
        <f t="shared" si="3"/>
        <v>0</v>
      </c>
      <c r="F38" s="250">
        <f>E38/25</f>
        <v>0</v>
      </c>
      <c r="G38" s="250">
        <f t="shared" si="2"/>
        <v>0</v>
      </c>
    </row>
    <row r="39" spans="1:7" x14ac:dyDescent="0.25">
      <c r="A39" s="258" t="s">
        <v>1</v>
      </c>
      <c r="B39" s="187"/>
      <c r="C39" s="250">
        <f>SUM(C27:C38)</f>
        <v>0</v>
      </c>
      <c r="D39" s="187"/>
      <c r="E39" s="250">
        <f>SUM(E27:E38)</f>
        <v>0</v>
      </c>
      <c r="F39" s="250">
        <f>SUM(F27:F38)</f>
        <v>0</v>
      </c>
      <c r="G39" s="250">
        <f>SUM(G27:G38)</f>
        <v>0</v>
      </c>
    </row>
    <row r="42" spans="1:7" x14ac:dyDescent="0.25">
      <c r="A42" s="399" t="s">
        <v>264</v>
      </c>
    </row>
    <row r="43" spans="1:7" ht="46.5" x14ac:dyDescent="0.35">
      <c r="A43" s="281" t="s">
        <v>261</v>
      </c>
      <c r="B43" s="279" t="s">
        <v>262</v>
      </c>
      <c r="C43" s="280" t="s">
        <v>263</v>
      </c>
      <c r="D43" s="279" t="s">
        <v>110</v>
      </c>
      <c r="E43" s="279" t="s">
        <v>111</v>
      </c>
      <c r="F43" s="280" t="s">
        <v>463</v>
      </c>
      <c r="G43" s="280" t="s">
        <v>464</v>
      </c>
    </row>
    <row r="44" spans="1:7" x14ac:dyDescent="0.25">
      <c r="A44" s="191"/>
      <c r="B44" s="268"/>
      <c r="C44" s="278">
        <f>B44/(1+$B$23/100)</f>
        <v>0</v>
      </c>
      <c r="D44" s="305"/>
      <c r="E44" s="250">
        <f>B44*D44</f>
        <v>0</v>
      </c>
      <c r="F44" s="250">
        <f>E44/25</f>
        <v>0</v>
      </c>
      <c r="G44" s="250">
        <f>F44+(($B$23/100)*F44)</f>
        <v>0</v>
      </c>
    </row>
    <row r="45" spans="1:7" x14ac:dyDescent="0.25">
      <c r="A45" s="191"/>
      <c r="B45" s="268"/>
      <c r="C45" s="278">
        <f t="shared" ref="C45:C55" si="5">B45/(1+$B$23/100)</f>
        <v>0</v>
      </c>
      <c r="D45" s="268"/>
      <c r="E45" s="250">
        <f t="shared" ref="E45:E55" si="6">B45*D45</f>
        <v>0</v>
      </c>
      <c r="F45" s="250">
        <f t="shared" ref="F45:F55" si="7">E45/25</f>
        <v>0</v>
      </c>
      <c r="G45" s="250">
        <f t="shared" ref="G45:G55" si="8">F45+(($B$23/100)*F45)</f>
        <v>0</v>
      </c>
    </row>
    <row r="46" spans="1:7" x14ac:dyDescent="0.25">
      <c r="A46" s="191"/>
      <c r="B46" s="268"/>
      <c r="C46" s="278">
        <f t="shared" si="5"/>
        <v>0</v>
      </c>
      <c r="D46" s="268"/>
      <c r="E46" s="250">
        <f>B46*D46</f>
        <v>0</v>
      </c>
      <c r="F46" s="250">
        <f t="shared" si="7"/>
        <v>0</v>
      </c>
      <c r="G46" s="250">
        <f t="shared" si="8"/>
        <v>0</v>
      </c>
    </row>
    <row r="47" spans="1:7" x14ac:dyDescent="0.25">
      <c r="A47" s="191"/>
      <c r="B47" s="268"/>
      <c r="C47" s="278">
        <f>B47/(1+$B$23/100)</f>
        <v>0</v>
      </c>
      <c r="D47" s="268"/>
      <c r="E47" s="250">
        <f>B47*D47</f>
        <v>0</v>
      </c>
      <c r="F47" s="250">
        <f t="shared" si="7"/>
        <v>0</v>
      </c>
      <c r="G47" s="250">
        <f t="shared" si="8"/>
        <v>0</v>
      </c>
    </row>
    <row r="48" spans="1:7" x14ac:dyDescent="0.25">
      <c r="A48" s="191"/>
      <c r="B48" s="268"/>
      <c r="C48" s="278">
        <f t="shared" si="5"/>
        <v>0</v>
      </c>
      <c r="D48" s="268"/>
      <c r="E48" s="250">
        <f t="shared" si="6"/>
        <v>0</v>
      </c>
      <c r="F48" s="250">
        <f>E48/25</f>
        <v>0</v>
      </c>
      <c r="G48" s="250">
        <f t="shared" si="8"/>
        <v>0</v>
      </c>
    </row>
    <row r="49" spans="1:7" x14ac:dyDescent="0.25">
      <c r="A49" s="191"/>
      <c r="B49" s="268"/>
      <c r="C49" s="278">
        <f t="shared" si="5"/>
        <v>0</v>
      </c>
      <c r="D49" s="268"/>
      <c r="E49" s="250">
        <f t="shared" si="6"/>
        <v>0</v>
      </c>
      <c r="F49" s="250">
        <f t="shared" si="7"/>
        <v>0</v>
      </c>
      <c r="G49" s="250">
        <f t="shared" si="8"/>
        <v>0</v>
      </c>
    </row>
    <row r="50" spans="1:7" x14ac:dyDescent="0.25">
      <c r="A50" s="191"/>
      <c r="B50" s="268"/>
      <c r="C50" s="278">
        <f t="shared" si="5"/>
        <v>0</v>
      </c>
      <c r="D50" s="268"/>
      <c r="E50" s="250">
        <f t="shared" si="6"/>
        <v>0</v>
      </c>
      <c r="F50" s="250">
        <f t="shared" si="7"/>
        <v>0</v>
      </c>
      <c r="G50" s="250">
        <f t="shared" si="8"/>
        <v>0</v>
      </c>
    </row>
    <row r="51" spans="1:7" x14ac:dyDescent="0.25">
      <c r="A51" s="191"/>
      <c r="B51" s="268"/>
      <c r="C51" s="278">
        <f t="shared" si="5"/>
        <v>0</v>
      </c>
      <c r="D51" s="268"/>
      <c r="E51" s="250">
        <f t="shared" si="6"/>
        <v>0</v>
      </c>
      <c r="F51" s="250">
        <f t="shared" si="7"/>
        <v>0</v>
      </c>
      <c r="G51" s="250">
        <f t="shared" si="8"/>
        <v>0</v>
      </c>
    </row>
    <row r="52" spans="1:7" x14ac:dyDescent="0.25">
      <c r="A52" s="191"/>
      <c r="B52" s="268"/>
      <c r="C52" s="278">
        <f t="shared" si="5"/>
        <v>0</v>
      </c>
      <c r="D52" s="268"/>
      <c r="E52" s="250">
        <f t="shared" si="6"/>
        <v>0</v>
      </c>
      <c r="F52" s="250">
        <f t="shared" si="7"/>
        <v>0</v>
      </c>
      <c r="G52" s="250">
        <f t="shared" si="8"/>
        <v>0</v>
      </c>
    </row>
    <row r="53" spans="1:7" x14ac:dyDescent="0.25">
      <c r="A53" s="191"/>
      <c r="B53" s="268"/>
      <c r="C53" s="278">
        <f t="shared" si="5"/>
        <v>0</v>
      </c>
      <c r="D53" s="268"/>
      <c r="E53" s="250">
        <f t="shared" si="6"/>
        <v>0</v>
      </c>
      <c r="F53" s="250">
        <f t="shared" si="7"/>
        <v>0</v>
      </c>
      <c r="G53" s="250">
        <f t="shared" si="8"/>
        <v>0</v>
      </c>
    </row>
    <row r="54" spans="1:7" x14ac:dyDescent="0.25">
      <c r="A54" s="191"/>
      <c r="B54" s="268"/>
      <c r="C54" s="278">
        <f t="shared" si="5"/>
        <v>0</v>
      </c>
      <c r="D54" s="268"/>
      <c r="E54" s="250">
        <f t="shared" si="6"/>
        <v>0</v>
      </c>
      <c r="F54" s="250">
        <f t="shared" si="7"/>
        <v>0</v>
      </c>
      <c r="G54" s="250">
        <f t="shared" si="8"/>
        <v>0</v>
      </c>
    </row>
    <row r="55" spans="1:7" x14ac:dyDescent="0.25">
      <c r="A55" s="191"/>
      <c r="B55" s="268"/>
      <c r="C55" s="278">
        <f t="shared" si="5"/>
        <v>0</v>
      </c>
      <c r="D55" s="268"/>
      <c r="E55" s="250">
        <f t="shared" si="6"/>
        <v>0</v>
      </c>
      <c r="F55" s="250">
        <f t="shared" si="7"/>
        <v>0</v>
      </c>
      <c r="G55" s="250">
        <f t="shared" si="8"/>
        <v>0</v>
      </c>
    </row>
    <row r="56" spans="1:7" x14ac:dyDescent="0.25">
      <c r="A56" s="259" t="s">
        <v>1</v>
      </c>
      <c r="B56" s="250">
        <f>SUM(B44:B55)</f>
        <v>0</v>
      </c>
      <c r="C56" s="250">
        <f>SUM(C44:C55)</f>
        <v>0</v>
      </c>
      <c r="D56" s="187"/>
      <c r="E56" s="250">
        <f>SUM(E44:E55)</f>
        <v>0</v>
      </c>
      <c r="F56" s="250">
        <f>SUM(F44:F55)</f>
        <v>0</v>
      </c>
      <c r="G56" s="250">
        <f>SUM(G44:G55)</f>
        <v>0</v>
      </c>
    </row>
    <row r="59" spans="1:7" x14ac:dyDescent="0.25">
      <c r="A59" s="401" t="s">
        <v>265</v>
      </c>
      <c r="C59" s="3">
        <f>SUM(C39+C56)</f>
        <v>0</v>
      </c>
    </row>
    <row r="60" spans="1:7" ht="30" x14ac:dyDescent="0.25">
      <c r="A60" s="415" t="s">
        <v>465</v>
      </c>
      <c r="C60" s="3">
        <f>SUM(G39+G56)</f>
        <v>0</v>
      </c>
    </row>
    <row r="63" spans="1:7" x14ac:dyDescent="0.25">
      <c r="A63" s="476" t="s">
        <v>480</v>
      </c>
    </row>
  </sheetData>
  <mergeCells count="1">
    <mergeCell ref="A3:G3"/>
  </mergeCells>
  <dataValidations count="2">
    <dataValidation type="list" showInputMessage="1" showErrorMessage="1" sqref="A44:A55 A27:A38">
      <formula1>LandUse</formula1>
    </dataValidation>
    <dataValidation showInputMessage="1" showErrorMessage="1" sqref="C27:C39 B44:C55"/>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1"/>
  <sheetViews>
    <sheetView showGridLines="0" topLeftCell="A5" workbookViewId="0">
      <selection activeCell="A11" sqref="A11"/>
    </sheetView>
  </sheetViews>
  <sheetFormatPr defaultColWidth="9.140625" defaultRowHeight="15" x14ac:dyDescent="0.25"/>
  <cols>
    <col min="1" max="1" width="37.7109375" style="61" customWidth="1"/>
    <col min="2" max="2" width="9.5703125" style="61" customWidth="1"/>
    <col min="3" max="3" width="9.85546875" style="61" customWidth="1"/>
    <col min="4" max="4" width="21.7109375" style="61" bestFit="1" customWidth="1"/>
    <col min="5" max="5" width="10.140625" style="61" customWidth="1"/>
    <col min="6" max="6" width="9.140625" style="61"/>
    <col min="7" max="7" width="20.28515625" style="61" customWidth="1"/>
    <col min="8" max="8" width="10.140625" style="61" customWidth="1"/>
    <col min="9" max="9" width="7.7109375" style="61" customWidth="1"/>
    <col min="10" max="10" width="19.5703125" style="61" customWidth="1"/>
    <col min="11" max="11" width="12.140625" style="61" customWidth="1"/>
    <col min="12" max="16384" width="9.140625" style="61"/>
  </cols>
  <sheetData>
    <row r="1" spans="1:7" ht="33.75" x14ac:dyDescent="0.5">
      <c r="A1" s="369" t="s">
        <v>266</v>
      </c>
    </row>
    <row r="2" spans="1:7" x14ac:dyDescent="0.25">
      <c r="A2" s="69"/>
    </row>
    <row r="3" spans="1:7" ht="79.5" customHeight="1" x14ac:dyDescent="0.25">
      <c r="A3" s="422" t="s">
        <v>267</v>
      </c>
      <c r="B3" s="423"/>
      <c r="C3" s="424"/>
      <c r="D3" s="424"/>
      <c r="E3" s="424"/>
      <c r="F3" s="424"/>
      <c r="G3" s="425"/>
    </row>
    <row r="4" spans="1:7" x14ac:dyDescent="0.25">
      <c r="A4" s="70"/>
    </row>
    <row r="5" spans="1:7" x14ac:dyDescent="0.25">
      <c r="A5" s="69" t="s">
        <v>268</v>
      </c>
    </row>
    <row r="6" spans="1:7" ht="28.5" customHeight="1" x14ac:dyDescent="0.25">
      <c r="A6" s="409" t="s">
        <v>269</v>
      </c>
      <c r="B6" s="393"/>
    </row>
    <row r="7" spans="1:7" ht="28.5" customHeight="1" x14ac:dyDescent="0.25">
      <c r="A7" s="409" t="s">
        <v>270</v>
      </c>
      <c r="B7" s="368">
        <f>'1. Emisi-emisi LUC'!C59</f>
        <v>0</v>
      </c>
    </row>
    <row r="8" spans="1:7" ht="28.5" customHeight="1" x14ac:dyDescent="0.25">
      <c r="A8" s="409" t="s">
        <v>271</v>
      </c>
      <c r="B8" s="368">
        <f>B6*B7</f>
        <v>0</v>
      </c>
    </row>
    <row r="9" spans="1:7" x14ac:dyDescent="0.25">
      <c r="B9" s="66"/>
    </row>
    <row r="10" spans="1:7" x14ac:dyDescent="0.25">
      <c r="A10" s="114"/>
      <c r="B10" s="67"/>
    </row>
    <row r="11" spans="1:7" x14ac:dyDescent="0.25">
      <c r="A11" s="476" t="s">
        <v>480</v>
      </c>
    </row>
  </sheetData>
  <sheetProtection insertRows="0"/>
  <mergeCells count="1">
    <mergeCell ref="A3: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L35"/>
  <sheetViews>
    <sheetView showGridLines="0" zoomScale="80" zoomScaleNormal="80" workbookViewId="0">
      <selection activeCell="B33" sqref="B33"/>
    </sheetView>
  </sheetViews>
  <sheetFormatPr defaultColWidth="9.140625" defaultRowHeight="15" x14ac:dyDescent="0.25"/>
  <cols>
    <col min="1" max="1" width="4.28515625" style="61" customWidth="1"/>
    <col min="2" max="2" width="24.7109375" style="61" customWidth="1"/>
    <col min="3" max="3" width="9.28515625" style="61" customWidth="1"/>
    <col min="4" max="4" width="8" style="61" customWidth="1"/>
    <col min="5" max="5" width="27.85546875" style="61" customWidth="1"/>
    <col min="6" max="6" width="9.28515625" style="61" customWidth="1"/>
    <col min="7" max="7" width="8" style="61" customWidth="1"/>
    <col min="8" max="8" width="26" style="61" bestFit="1" customWidth="1"/>
    <col min="9" max="9" width="10.140625" style="61" customWidth="1"/>
    <col min="10" max="10" width="8" style="61" customWidth="1"/>
    <col min="11" max="11" width="26.42578125" style="61" customWidth="1"/>
    <col min="12" max="17" width="9.140625" style="61"/>
    <col min="18" max="18" width="10.5703125" style="61" customWidth="1"/>
    <col min="19" max="19" width="12.7109375" style="61" customWidth="1"/>
    <col min="20" max="20" width="12.140625" style="61" customWidth="1"/>
    <col min="21" max="16384" width="9.140625" style="61"/>
  </cols>
  <sheetData>
    <row r="1" spans="1:12" ht="33.75" x14ac:dyDescent="0.5">
      <c r="A1" s="369" t="s">
        <v>272</v>
      </c>
      <c r="B1" s="69"/>
    </row>
    <row r="2" spans="1:12" ht="6" customHeight="1" x14ac:dyDescent="0.25">
      <c r="B2" s="69"/>
    </row>
    <row r="3" spans="1:12" ht="69.75" customHeight="1" x14ac:dyDescent="0.25">
      <c r="A3" s="426" t="s">
        <v>466</v>
      </c>
      <c r="B3" s="426"/>
      <c r="C3" s="426"/>
      <c r="D3" s="426"/>
      <c r="E3" s="426"/>
      <c r="F3" s="426"/>
      <c r="G3" s="426"/>
      <c r="H3" s="426"/>
      <c r="I3" s="426"/>
      <c r="J3" s="426"/>
      <c r="K3" s="426"/>
      <c r="L3" s="426"/>
    </row>
    <row r="4" spans="1:12" ht="12.75" customHeight="1" thickBot="1" x14ac:dyDescent="0.3">
      <c r="B4" s="70"/>
    </row>
    <row r="5" spans="1:12" x14ac:dyDescent="0.25">
      <c r="A5" s="210"/>
      <c r="B5" s="384"/>
      <c r="C5" s="370"/>
      <c r="D5" s="370"/>
      <c r="E5" s="370"/>
      <c r="F5" s="370"/>
      <c r="G5" s="371"/>
    </row>
    <row r="6" spans="1:12" ht="18" customHeight="1" x14ac:dyDescent="0.25">
      <c r="A6" s="210"/>
      <c r="B6" s="385" t="s">
        <v>275</v>
      </c>
      <c r="C6" s="210"/>
      <c r="D6" s="210"/>
      <c r="E6" s="210"/>
      <c r="F6" s="210"/>
      <c r="G6" s="372"/>
      <c r="H6" s="82"/>
      <c r="I6" s="82"/>
      <c r="J6" s="82"/>
      <c r="K6" s="82"/>
    </row>
    <row r="7" spans="1:12" ht="18" x14ac:dyDescent="0.35">
      <c r="A7" s="210"/>
      <c r="B7" s="386" t="s">
        <v>276</v>
      </c>
      <c r="C7" s="73">
        <f>'Data default'!$B7</f>
        <v>3.12</v>
      </c>
      <c r="D7" s="210"/>
      <c r="E7" s="72" t="s">
        <v>101</v>
      </c>
      <c r="F7" s="392">
        <v>0</v>
      </c>
      <c r="G7" s="373"/>
      <c r="H7" s="76"/>
      <c r="I7" s="76"/>
      <c r="J7" s="76"/>
      <c r="K7" s="85"/>
    </row>
    <row r="8" spans="1:12" ht="18" x14ac:dyDescent="0.35">
      <c r="A8" s="210"/>
      <c r="B8" s="386" t="s">
        <v>277</v>
      </c>
      <c r="C8" s="374">
        <f>'Data default'!B8</f>
        <v>2.75</v>
      </c>
      <c r="D8" s="210"/>
      <c r="E8" s="72" t="s">
        <v>102</v>
      </c>
      <c r="F8" s="392">
        <v>0</v>
      </c>
      <c r="G8" s="375"/>
    </row>
    <row r="9" spans="1:12" ht="15.75" thickBot="1" x14ac:dyDescent="0.3">
      <c r="A9" s="210"/>
      <c r="B9" s="387"/>
      <c r="C9" s="377"/>
      <c r="D9" s="378"/>
      <c r="E9" s="376"/>
      <c r="F9" s="379"/>
      <c r="G9" s="380"/>
    </row>
    <row r="10" spans="1:12" x14ac:dyDescent="0.25">
      <c r="B10" s="72"/>
      <c r="C10" s="62"/>
      <c r="E10" s="72"/>
      <c r="F10" s="74"/>
    </row>
    <row r="11" spans="1:12" x14ac:dyDescent="0.25">
      <c r="B11" s="193" t="s">
        <v>278</v>
      </c>
      <c r="C11" s="62"/>
    </row>
    <row r="12" spans="1:12" x14ac:dyDescent="0.25">
      <c r="B12" s="427" t="s">
        <v>279</v>
      </c>
      <c r="C12" s="427"/>
      <c r="E12" s="427" t="s">
        <v>280</v>
      </c>
      <c r="F12" s="427"/>
      <c r="H12" s="427" t="s">
        <v>103</v>
      </c>
      <c r="I12" s="427"/>
      <c r="K12" s="427" t="s">
        <v>104</v>
      </c>
      <c r="L12" s="427"/>
    </row>
    <row r="13" spans="1:12" ht="18.75" customHeight="1" x14ac:dyDescent="0.25">
      <c r="B13" s="381" t="s">
        <v>281</v>
      </c>
      <c r="C13" s="390"/>
      <c r="D13" s="382"/>
      <c r="E13" s="381" t="s">
        <v>281</v>
      </c>
      <c r="F13" s="390"/>
      <c r="G13" s="382"/>
      <c r="H13" s="381" t="s">
        <v>281</v>
      </c>
      <c r="I13" s="391"/>
      <c r="J13" s="382"/>
      <c r="K13" s="381" t="s">
        <v>281</v>
      </c>
      <c r="L13" s="390"/>
    </row>
    <row r="14" spans="1:12" ht="18.75" customHeight="1" x14ac:dyDescent="0.25">
      <c r="B14" s="382" t="s">
        <v>282</v>
      </c>
      <c r="C14" s="383">
        <f>C13*'1. Emisi-emisi LUC'!C59</f>
        <v>0</v>
      </c>
      <c r="D14" s="382"/>
      <c r="E14" s="382" t="s">
        <v>282</v>
      </c>
      <c r="F14" s="383">
        <f>F13*'1. Emisi-emisi LUC'!C59</f>
        <v>0</v>
      </c>
      <c r="G14" s="382"/>
      <c r="H14" s="382" t="s">
        <v>282</v>
      </c>
      <c r="I14" s="383">
        <f>I13*'1. Emisi-emisi LUC'!C59</f>
        <v>0</v>
      </c>
      <c r="J14" s="382"/>
      <c r="K14" s="382" t="s">
        <v>282</v>
      </c>
      <c r="L14" s="383">
        <f>L13*'1. Emisi-emisi LUC'!C59</f>
        <v>0</v>
      </c>
    </row>
    <row r="15" spans="1:12" x14ac:dyDescent="0.25">
      <c r="B15" s="96"/>
      <c r="C15" s="93"/>
    </row>
    <row r="16" spans="1:12" x14ac:dyDescent="0.25">
      <c r="B16" s="111" t="s">
        <v>284</v>
      </c>
      <c r="C16" s="95"/>
    </row>
    <row r="17" spans="2:6" x14ac:dyDescent="0.25">
      <c r="B17" s="87" t="s">
        <v>286</v>
      </c>
      <c r="C17" s="131">
        <f>(C14*C7+F14*C8+I14*F7+L14*F8)/1000</f>
        <v>0</v>
      </c>
    </row>
    <row r="18" spans="2:6" x14ac:dyDescent="0.25">
      <c r="B18" s="87"/>
      <c r="C18" s="92"/>
    </row>
    <row r="19" spans="2:6" hidden="1" x14ac:dyDescent="0.25">
      <c r="B19" s="145" t="s">
        <v>95</v>
      </c>
      <c r="C19" s="147"/>
      <c r="D19" s="145"/>
      <c r="E19" s="145" t="s">
        <v>91</v>
      </c>
      <c r="F19" s="145"/>
    </row>
    <row r="20" spans="2:6" hidden="1" x14ac:dyDescent="0.25">
      <c r="B20" s="158" t="s">
        <v>283</v>
      </c>
      <c r="C20" s="153" t="e">
        <f>#REF!</f>
        <v>#REF!</v>
      </c>
      <c r="D20" s="145"/>
      <c r="E20" s="145" t="str">
        <f t="shared" ref="E20:F24" si="0">B20</f>
        <v>Outgrower fuel Konsumsi l/thn</v>
      </c>
      <c r="F20" s="153" t="e">
        <f t="shared" si="0"/>
        <v>#REF!</v>
      </c>
    </row>
    <row r="21" spans="2:6" hidden="1" x14ac:dyDescent="0.25">
      <c r="B21" s="165" t="e">
        <f>#REF!</f>
        <v>#REF!</v>
      </c>
      <c r="C21" s="162"/>
      <c r="D21" s="145"/>
      <c r="E21" s="152" t="e">
        <f t="shared" si="0"/>
        <v>#REF!</v>
      </c>
      <c r="F21" s="164"/>
    </row>
    <row r="22" spans="2:6" hidden="1" x14ac:dyDescent="0.25">
      <c r="B22" s="165" t="e">
        <f>#REF!</f>
        <v>#REF!</v>
      </c>
      <c r="C22" s="162"/>
      <c r="D22" s="145"/>
      <c r="E22" s="152" t="e">
        <f t="shared" si="0"/>
        <v>#REF!</v>
      </c>
      <c r="F22" s="164"/>
    </row>
    <row r="23" spans="2:6" hidden="1" x14ac:dyDescent="0.25">
      <c r="B23" s="165" t="e">
        <f>#REF!</f>
        <v>#REF!</v>
      </c>
      <c r="C23" s="162"/>
      <c r="D23" s="145"/>
      <c r="E23" s="152" t="e">
        <f t="shared" si="0"/>
        <v>#REF!</v>
      </c>
      <c r="F23" s="164"/>
    </row>
    <row r="24" spans="2:6" hidden="1" x14ac:dyDescent="0.25">
      <c r="B24" s="165" t="e">
        <f>#REF!</f>
        <v>#REF!</v>
      </c>
      <c r="C24" s="162"/>
      <c r="D24" s="145"/>
      <c r="E24" s="152" t="e">
        <f t="shared" si="0"/>
        <v>#REF!</v>
      </c>
      <c r="F24" s="164"/>
    </row>
    <row r="25" spans="2:6" hidden="1" x14ac:dyDescent="0.25">
      <c r="B25" s="165"/>
      <c r="C25" s="169"/>
      <c r="D25" s="145"/>
      <c r="E25" s="145"/>
      <c r="F25" s="145"/>
    </row>
    <row r="26" spans="2:6" hidden="1" x14ac:dyDescent="0.25">
      <c r="B26" s="170" t="s">
        <v>96</v>
      </c>
      <c r="C26" s="171" t="s">
        <v>285</v>
      </c>
      <c r="D26" s="154" t="s">
        <v>94</v>
      </c>
      <c r="E26" s="145"/>
      <c r="F26" s="145"/>
    </row>
    <row r="27" spans="2:6" s="74" customFormat="1" hidden="1" x14ac:dyDescent="0.25">
      <c r="B27" s="148" t="s">
        <v>92</v>
      </c>
      <c r="C27" s="156">
        <f>SUM(C21:C24)</f>
        <v>0</v>
      </c>
      <c r="D27" s="147" t="e">
        <f>C27/#REF!</f>
        <v>#REF!</v>
      </c>
      <c r="E27" s="145"/>
      <c r="F27" s="145"/>
    </row>
    <row r="28" spans="2:6" hidden="1" x14ac:dyDescent="0.25">
      <c r="B28" s="148" t="s">
        <v>93</v>
      </c>
      <c r="C28" s="146">
        <f>SUM(F21:F24)</f>
        <v>0</v>
      </c>
      <c r="D28" s="147" t="e">
        <f>C28/#REF!</f>
        <v>#REF!</v>
      </c>
      <c r="E28" s="145"/>
      <c r="F28" s="145"/>
    </row>
    <row r="29" spans="2:6" hidden="1" x14ac:dyDescent="0.25">
      <c r="B29" s="148"/>
      <c r="C29" s="146"/>
      <c r="D29" s="145"/>
      <c r="E29" s="145"/>
      <c r="F29" s="145"/>
    </row>
    <row r="30" spans="2:6" ht="18" hidden="1" x14ac:dyDescent="0.35">
      <c r="B30" s="148" t="s">
        <v>52</v>
      </c>
      <c r="C30" s="147" t="e">
        <f>(D27*C7+D28*C8)/1000</f>
        <v>#REF!</v>
      </c>
      <c r="D30" s="145"/>
      <c r="E30" s="145"/>
      <c r="F30" s="145"/>
    </row>
    <row r="31" spans="2:6" hidden="1" x14ac:dyDescent="0.25">
      <c r="B31" s="148" t="s">
        <v>286</v>
      </c>
      <c r="C31" s="163">
        <f>(C27*$C7+C28*C8)/1000</f>
        <v>0</v>
      </c>
      <c r="D31" s="145"/>
      <c r="E31" s="145"/>
      <c r="F31" s="145"/>
    </row>
    <row r="33" spans="2:6" x14ac:dyDescent="0.25">
      <c r="B33" s="476" t="s">
        <v>480</v>
      </c>
      <c r="E33" s="74"/>
      <c r="F33" s="74"/>
    </row>
    <row r="34" spans="2:6" x14ac:dyDescent="0.25">
      <c r="F34" s="139"/>
    </row>
    <row r="35" spans="2:6" x14ac:dyDescent="0.25">
      <c r="F35" s="63"/>
    </row>
  </sheetData>
  <sheetProtection formatCells="0" formatColumns="0" formatRows="0" insertColumns="0" insertRows="0"/>
  <customSheetViews>
    <customSheetView guid="{E65377FD-65C5-4E48-ADBC-1C49981F2400}" topLeftCell="A10">
      <selection activeCell="D17" sqref="D17"/>
      <pageMargins left="0.7" right="0.7" top="0.75" bottom="0.75" header="0.3" footer="0.3"/>
      <pageSetup orientation="portrait" r:id="rId1"/>
    </customSheetView>
  </customSheetViews>
  <mergeCells count="5">
    <mergeCell ref="A3:L3"/>
    <mergeCell ref="B12:C12"/>
    <mergeCell ref="E12:F12"/>
    <mergeCell ref="H12:I12"/>
    <mergeCell ref="K12:L12"/>
  </mergeCell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33"/>
  <sheetViews>
    <sheetView showGridLines="0" topLeftCell="C11" zoomScale="110" zoomScaleNormal="110" workbookViewId="0">
      <selection activeCell="C33" sqref="C33"/>
    </sheetView>
  </sheetViews>
  <sheetFormatPr defaultColWidth="9.140625" defaultRowHeight="15" x14ac:dyDescent="0.25"/>
  <cols>
    <col min="1" max="1" width="69.85546875" style="61" customWidth="1"/>
    <col min="2" max="2" width="7.5703125" style="61" bestFit="1" customWidth="1"/>
    <col min="3" max="3" width="5" style="61" bestFit="1" customWidth="1"/>
    <col min="4" max="4" width="5.5703125" style="61" bestFit="1" customWidth="1"/>
    <col min="5" max="5" width="4.7109375" style="61" customWidth="1"/>
    <col min="6" max="6" width="5.5703125" style="61" customWidth="1"/>
    <col min="7" max="7" width="8.42578125" style="61" bestFit="1" customWidth="1"/>
    <col min="8" max="8" width="4.85546875" style="61" customWidth="1"/>
    <col min="9" max="9" width="5" style="61" customWidth="1"/>
    <col min="10" max="10" width="4.85546875" style="61" customWidth="1"/>
    <col min="11" max="11" width="5.28515625" style="61" customWidth="1"/>
    <col min="12" max="12" width="5.140625" style="61" customWidth="1"/>
    <col min="13" max="13" width="5.42578125" style="61" customWidth="1"/>
    <col min="14" max="14" width="5.140625" style="61" customWidth="1"/>
    <col min="15" max="15" width="5" style="61" customWidth="1"/>
    <col min="16" max="16" width="5.5703125" style="61" customWidth="1"/>
    <col min="17" max="17" width="6" style="61" customWidth="1"/>
    <col min="18" max="18" width="5.85546875" style="61" customWidth="1"/>
    <col min="19" max="19" width="5" style="61" customWidth="1"/>
    <col min="20" max="20" width="6.140625" style="61" customWidth="1"/>
    <col min="21" max="21" width="5.42578125" style="61" customWidth="1"/>
    <col min="22" max="22" width="5.140625" style="61" customWidth="1"/>
    <col min="23" max="23" width="5" style="61" customWidth="1"/>
    <col min="24" max="26" width="5.42578125" style="61" customWidth="1"/>
    <col min="27" max="27" width="6.28515625" style="61" customWidth="1"/>
    <col min="28" max="28" width="6" style="61" customWidth="1"/>
    <col min="29" max="29" width="6.140625" style="61" customWidth="1"/>
    <col min="30" max="30" width="5.7109375" style="61" customWidth="1"/>
    <col min="31" max="31" width="5.5703125" style="61" customWidth="1"/>
    <col min="32" max="32" width="10.140625" style="61" customWidth="1"/>
    <col min="33" max="33" width="8" style="61" customWidth="1"/>
    <col min="34" max="16384" width="9.140625" style="61"/>
  </cols>
  <sheetData>
    <row r="1" spans="1:30" ht="41.25" customHeight="1" x14ac:dyDescent="0.7">
      <c r="A1" s="369" t="s">
        <v>287</v>
      </c>
    </row>
    <row r="2" spans="1:30" ht="39" customHeight="1" x14ac:dyDescent="0.25">
      <c r="A2" s="428" t="s">
        <v>467</v>
      </c>
      <c r="B2" s="429"/>
      <c r="C2" s="429"/>
      <c r="D2" s="429"/>
      <c r="E2" s="429"/>
      <c r="F2" s="429"/>
      <c r="G2" s="429"/>
      <c r="H2" s="429"/>
      <c r="I2" s="429"/>
      <c r="J2" s="429"/>
      <c r="K2" s="429"/>
      <c r="L2" s="429"/>
      <c r="M2" s="429"/>
      <c r="N2" s="429"/>
      <c r="O2" s="429"/>
      <c r="P2" s="429"/>
      <c r="Q2" s="429"/>
      <c r="R2" s="429"/>
      <c r="S2" s="429"/>
      <c r="T2" s="429"/>
      <c r="U2" s="429"/>
      <c r="V2" s="430"/>
      <c r="W2" s="34"/>
      <c r="X2" s="97"/>
      <c r="Y2" s="97"/>
      <c r="Z2" s="97"/>
      <c r="AA2" s="97"/>
      <c r="AB2" s="97"/>
      <c r="AC2" s="97"/>
      <c r="AD2" s="97"/>
    </row>
    <row r="3" spans="1:30" ht="21" customHeight="1" x14ac:dyDescent="0.25">
      <c r="A3" s="431"/>
      <c r="B3" s="432"/>
      <c r="C3" s="432"/>
      <c r="D3" s="432"/>
      <c r="E3" s="432"/>
      <c r="F3" s="432"/>
      <c r="G3" s="432"/>
      <c r="H3" s="432"/>
      <c r="I3" s="432"/>
      <c r="J3" s="432"/>
      <c r="K3" s="432"/>
      <c r="L3" s="432"/>
      <c r="M3" s="432"/>
      <c r="N3" s="432"/>
      <c r="O3" s="432"/>
      <c r="P3" s="432"/>
      <c r="Q3" s="432"/>
      <c r="R3" s="432"/>
      <c r="S3" s="432"/>
      <c r="T3" s="432"/>
      <c r="U3" s="432"/>
      <c r="V3" s="433"/>
      <c r="W3" s="34"/>
      <c r="X3" s="97"/>
      <c r="Y3" s="97"/>
      <c r="Z3" s="97"/>
      <c r="AA3" s="97"/>
      <c r="AB3" s="97"/>
      <c r="AC3" s="97"/>
      <c r="AD3" s="97"/>
    </row>
    <row r="4" spans="1:30" x14ac:dyDescent="0.25">
      <c r="A4" s="75"/>
    </row>
    <row r="5" spans="1:30" x14ac:dyDescent="0.25">
      <c r="A5" s="75" t="s">
        <v>288</v>
      </c>
      <c r="R5" s="62"/>
      <c r="S5" s="62"/>
      <c r="T5" s="62"/>
      <c r="U5" s="62"/>
    </row>
    <row r="6" spans="1:30" x14ac:dyDescent="0.25">
      <c r="A6" s="70" t="s">
        <v>289</v>
      </c>
      <c r="R6" s="62"/>
      <c r="S6" s="62"/>
      <c r="T6" s="62"/>
      <c r="U6" s="62"/>
    </row>
    <row r="7" spans="1:30" x14ac:dyDescent="0.25">
      <c r="A7" s="70"/>
      <c r="R7" s="62"/>
      <c r="S7" s="62"/>
      <c r="T7" s="62"/>
      <c r="U7" s="62"/>
    </row>
    <row r="8" spans="1:30" x14ac:dyDescent="0.25">
      <c r="R8" s="62"/>
      <c r="S8" s="62"/>
      <c r="T8" s="62"/>
      <c r="U8" s="62"/>
    </row>
    <row r="9" spans="1:30" x14ac:dyDescent="0.25">
      <c r="A9" s="98" t="s">
        <v>290</v>
      </c>
      <c r="R9" s="62"/>
      <c r="S9" s="62"/>
      <c r="T9" s="62"/>
      <c r="U9" s="62"/>
    </row>
    <row r="10" spans="1:30" ht="30" x14ac:dyDescent="0.25">
      <c r="A10" s="99" t="s">
        <v>291</v>
      </c>
      <c r="B10" s="389"/>
      <c r="R10" s="62"/>
      <c r="S10" s="62"/>
      <c r="T10" s="62"/>
      <c r="U10" s="62"/>
    </row>
    <row r="11" spans="1:30" x14ac:dyDescent="0.25">
      <c r="A11" s="99" t="s">
        <v>292</v>
      </c>
      <c r="B11" s="203">
        <f>IF(B10="N","100",)</f>
        <v>0</v>
      </c>
      <c r="R11" s="62"/>
      <c r="S11" s="62"/>
      <c r="T11" s="62"/>
      <c r="U11" s="62"/>
    </row>
    <row r="12" spans="1:30" x14ac:dyDescent="0.25">
      <c r="A12" s="99" t="s">
        <v>293</v>
      </c>
      <c r="B12" s="204">
        <f>IF(B10="P","75",)</f>
        <v>0</v>
      </c>
      <c r="R12" s="62"/>
      <c r="S12" s="62"/>
      <c r="T12" s="62"/>
      <c r="U12" s="62"/>
    </row>
    <row r="13" spans="1:30" ht="15" customHeight="1" x14ac:dyDescent="0.25">
      <c r="A13" s="99" t="s">
        <v>294</v>
      </c>
      <c r="B13" s="204">
        <f>IF(B10="Y","60",)</f>
        <v>0</v>
      </c>
      <c r="R13" s="62"/>
      <c r="S13" s="62"/>
      <c r="T13" s="62"/>
      <c r="U13" s="62"/>
    </row>
    <row r="14" spans="1:30" ht="15" customHeight="1" x14ac:dyDescent="0.25">
      <c r="A14" s="99" t="s">
        <v>295</v>
      </c>
      <c r="B14" s="188">
        <f>B11*0.91</f>
        <v>0</v>
      </c>
      <c r="R14" s="62"/>
      <c r="S14" s="62"/>
      <c r="T14" s="62"/>
      <c r="U14" s="62"/>
    </row>
    <row r="15" spans="1:30" ht="15" customHeight="1" x14ac:dyDescent="0.25">
      <c r="A15" s="99" t="s">
        <v>296</v>
      </c>
      <c r="B15" s="190">
        <f>B12*0.91</f>
        <v>0</v>
      </c>
      <c r="R15" s="62"/>
      <c r="S15" s="62"/>
      <c r="T15" s="62"/>
      <c r="U15" s="62"/>
    </row>
    <row r="16" spans="1:30" ht="30" x14ac:dyDescent="0.25">
      <c r="A16" s="99" t="s">
        <v>297</v>
      </c>
      <c r="B16" s="189">
        <f>B13*0.91</f>
        <v>0</v>
      </c>
      <c r="R16" s="62"/>
      <c r="S16" s="62"/>
      <c r="T16" s="62"/>
      <c r="U16" s="62"/>
    </row>
    <row r="17" spans="1:33" x14ac:dyDescent="0.25">
      <c r="A17" s="99"/>
      <c r="B17" s="185"/>
      <c r="C17" s="100"/>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1:33" x14ac:dyDescent="0.25">
      <c r="A18" s="111" t="s">
        <v>298</v>
      </c>
      <c r="B18" s="103">
        <f>(B14*'1. Emisi-emisi LUC'!B56)+(B15*'1. Emisi-emisi LUC'!B56)+(B16*'1. Emisi-emisi LUC'!B56)</f>
        <v>0</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row>
    <row r="19" spans="1:33" x14ac:dyDescent="0.25">
      <c r="A19" s="101"/>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1:33" x14ac:dyDescent="0.25">
      <c r="A20" s="74"/>
      <c r="B20" s="106"/>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row>
    <row r="21" spans="1:33" x14ac:dyDescent="0.25">
      <c r="A21" s="87"/>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1:33" x14ac:dyDescent="0.25">
      <c r="A22" s="74"/>
      <c r="B22" s="106"/>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74"/>
      <c r="AG22" s="74"/>
    </row>
    <row r="23" spans="1:33" x14ac:dyDescent="0.25">
      <c r="A23" s="74"/>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8"/>
      <c r="AG23" s="74"/>
    </row>
    <row r="24" spans="1:33" x14ac:dyDescent="0.25">
      <c r="A24" s="102"/>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9"/>
      <c r="AG24" s="91"/>
    </row>
    <row r="25" spans="1:33"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90"/>
      <c r="AB25" s="74"/>
      <c r="AC25" s="74"/>
      <c r="AD25" s="74"/>
      <c r="AE25" s="74"/>
      <c r="AF25" s="109"/>
      <c r="AG25" s="74"/>
    </row>
    <row r="26" spans="1:33" hidden="1" x14ac:dyDescent="0.25">
      <c r="A26" s="173" t="s">
        <v>32</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54"/>
      <c r="AB26" s="145"/>
      <c r="AC26" s="145"/>
      <c r="AD26" s="145"/>
      <c r="AE26" s="145"/>
      <c r="AF26" s="145"/>
      <c r="AG26" s="145"/>
    </row>
    <row r="27" spans="1:33" hidden="1" x14ac:dyDescent="0.25">
      <c r="A27" s="145" t="s">
        <v>0</v>
      </c>
      <c r="B27" s="153" t="e">
        <f>#REF!</f>
        <v>#REF!</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54"/>
      <c r="AB27" s="145"/>
      <c r="AC27" s="145"/>
      <c r="AD27" s="145"/>
      <c r="AE27" s="145"/>
      <c r="AF27" s="145"/>
      <c r="AG27" s="145"/>
    </row>
    <row r="28" spans="1:33" hidden="1" x14ac:dyDescent="0.25">
      <c r="A28" s="148" t="s">
        <v>51</v>
      </c>
      <c r="B28" s="145">
        <v>1</v>
      </c>
      <c r="C28" s="145">
        <f t="shared" ref="C28:AB28" si="0">B28+1</f>
        <v>2</v>
      </c>
      <c r="D28" s="145">
        <f t="shared" si="0"/>
        <v>3</v>
      </c>
      <c r="E28" s="145">
        <f t="shared" si="0"/>
        <v>4</v>
      </c>
      <c r="F28" s="145">
        <f t="shared" si="0"/>
        <v>5</v>
      </c>
      <c r="G28" s="145">
        <f t="shared" si="0"/>
        <v>6</v>
      </c>
      <c r="H28" s="145">
        <f t="shared" si="0"/>
        <v>7</v>
      </c>
      <c r="I28" s="145">
        <f t="shared" si="0"/>
        <v>8</v>
      </c>
      <c r="J28" s="145">
        <f t="shared" si="0"/>
        <v>9</v>
      </c>
      <c r="K28" s="145">
        <f t="shared" si="0"/>
        <v>10</v>
      </c>
      <c r="L28" s="145">
        <f t="shared" si="0"/>
        <v>11</v>
      </c>
      <c r="M28" s="145">
        <f t="shared" si="0"/>
        <v>12</v>
      </c>
      <c r="N28" s="145">
        <f t="shared" si="0"/>
        <v>13</v>
      </c>
      <c r="O28" s="145">
        <f t="shared" si="0"/>
        <v>14</v>
      </c>
      <c r="P28" s="145">
        <f t="shared" si="0"/>
        <v>15</v>
      </c>
      <c r="Q28" s="145">
        <f t="shared" si="0"/>
        <v>16</v>
      </c>
      <c r="R28" s="145">
        <f t="shared" si="0"/>
        <v>17</v>
      </c>
      <c r="S28" s="145">
        <f t="shared" si="0"/>
        <v>18</v>
      </c>
      <c r="T28" s="145">
        <f t="shared" si="0"/>
        <v>19</v>
      </c>
      <c r="U28" s="145">
        <f t="shared" si="0"/>
        <v>20</v>
      </c>
      <c r="V28" s="145">
        <f t="shared" si="0"/>
        <v>21</v>
      </c>
      <c r="W28" s="145">
        <f t="shared" si="0"/>
        <v>22</v>
      </c>
      <c r="X28" s="145">
        <f t="shared" si="0"/>
        <v>23</v>
      </c>
      <c r="Y28" s="145">
        <f t="shared" si="0"/>
        <v>24</v>
      </c>
      <c r="Z28" s="145">
        <f t="shared" si="0"/>
        <v>25</v>
      </c>
      <c r="AA28" s="145">
        <f t="shared" si="0"/>
        <v>26</v>
      </c>
      <c r="AB28" s="145">
        <f t="shared" si="0"/>
        <v>27</v>
      </c>
      <c r="AC28" s="145">
        <f>AB28+1</f>
        <v>28</v>
      </c>
      <c r="AD28" s="145">
        <f>AC28+1</f>
        <v>29</v>
      </c>
      <c r="AE28" s="145">
        <f>AD28+1</f>
        <v>30</v>
      </c>
      <c r="AF28" s="145"/>
      <c r="AG28" s="145"/>
    </row>
    <row r="29" spans="1:33" hidden="1" x14ac:dyDescent="0.25">
      <c r="A29" s="145" t="s">
        <v>35</v>
      </c>
      <c r="B29" s="153" t="e">
        <f>#REF!</f>
        <v>#REF!</v>
      </c>
      <c r="C29" s="155" t="e">
        <f>B29-1</f>
        <v>#REF!</v>
      </c>
      <c r="D29" s="155" t="e">
        <f t="shared" ref="D29:AE29" si="1">C29-1</f>
        <v>#REF!</v>
      </c>
      <c r="E29" s="155" t="e">
        <f t="shared" si="1"/>
        <v>#REF!</v>
      </c>
      <c r="F29" s="155" t="e">
        <f t="shared" si="1"/>
        <v>#REF!</v>
      </c>
      <c r="G29" s="155" t="e">
        <f t="shared" si="1"/>
        <v>#REF!</v>
      </c>
      <c r="H29" s="155" t="e">
        <f t="shared" si="1"/>
        <v>#REF!</v>
      </c>
      <c r="I29" s="155" t="e">
        <f t="shared" si="1"/>
        <v>#REF!</v>
      </c>
      <c r="J29" s="155" t="e">
        <f t="shared" si="1"/>
        <v>#REF!</v>
      </c>
      <c r="K29" s="155" t="e">
        <f t="shared" si="1"/>
        <v>#REF!</v>
      </c>
      <c r="L29" s="155" t="e">
        <f t="shared" si="1"/>
        <v>#REF!</v>
      </c>
      <c r="M29" s="155" t="e">
        <f t="shared" si="1"/>
        <v>#REF!</v>
      </c>
      <c r="N29" s="155" t="e">
        <f t="shared" si="1"/>
        <v>#REF!</v>
      </c>
      <c r="O29" s="155" t="e">
        <f t="shared" si="1"/>
        <v>#REF!</v>
      </c>
      <c r="P29" s="155" t="e">
        <f t="shared" si="1"/>
        <v>#REF!</v>
      </c>
      <c r="Q29" s="155" t="e">
        <f t="shared" si="1"/>
        <v>#REF!</v>
      </c>
      <c r="R29" s="155" t="e">
        <f t="shared" si="1"/>
        <v>#REF!</v>
      </c>
      <c r="S29" s="155" t="e">
        <f t="shared" si="1"/>
        <v>#REF!</v>
      </c>
      <c r="T29" s="155" t="e">
        <f t="shared" si="1"/>
        <v>#REF!</v>
      </c>
      <c r="U29" s="155" t="e">
        <f t="shared" si="1"/>
        <v>#REF!</v>
      </c>
      <c r="V29" s="155" t="e">
        <f t="shared" si="1"/>
        <v>#REF!</v>
      </c>
      <c r="W29" s="155" t="e">
        <f t="shared" si="1"/>
        <v>#REF!</v>
      </c>
      <c r="X29" s="155" t="e">
        <f t="shared" si="1"/>
        <v>#REF!</v>
      </c>
      <c r="Y29" s="155" t="e">
        <f t="shared" si="1"/>
        <v>#REF!</v>
      </c>
      <c r="Z29" s="155" t="e">
        <f t="shared" si="1"/>
        <v>#REF!</v>
      </c>
      <c r="AA29" s="155" t="e">
        <f t="shared" si="1"/>
        <v>#REF!</v>
      </c>
      <c r="AB29" s="155" t="e">
        <f t="shared" si="1"/>
        <v>#REF!</v>
      </c>
      <c r="AC29" s="155" t="e">
        <f t="shared" si="1"/>
        <v>#REF!</v>
      </c>
      <c r="AD29" s="155" t="e">
        <f t="shared" si="1"/>
        <v>#REF!</v>
      </c>
      <c r="AE29" s="155" t="e">
        <f t="shared" si="1"/>
        <v>#REF!</v>
      </c>
      <c r="AF29" s="145"/>
      <c r="AG29" s="145"/>
    </row>
    <row r="30" spans="1:33" ht="18" hidden="1" x14ac:dyDescent="0.35">
      <c r="A30" s="145" t="s">
        <v>23</v>
      </c>
      <c r="B30" s="172" t="e">
        <f>#REF!</f>
        <v>#REF!</v>
      </c>
      <c r="C30" s="172" t="e">
        <f>#REF!</f>
        <v>#REF!</v>
      </c>
      <c r="D30" s="172" t="e">
        <f>#REF!</f>
        <v>#REF!</v>
      </c>
      <c r="E30" s="172" t="e">
        <f>#REF!</f>
        <v>#REF!</v>
      </c>
      <c r="F30" s="172" t="e">
        <f>#REF!</f>
        <v>#REF!</v>
      </c>
      <c r="G30" s="172" t="e">
        <f>#REF!</f>
        <v>#REF!</v>
      </c>
      <c r="H30" s="172" t="e">
        <f>#REF!</f>
        <v>#REF!</v>
      </c>
      <c r="I30" s="172" t="e">
        <f>#REF!</f>
        <v>#REF!</v>
      </c>
      <c r="J30" s="172" t="e">
        <f>#REF!</f>
        <v>#REF!</v>
      </c>
      <c r="K30" s="172" t="e">
        <f>#REF!</f>
        <v>#REF!</v>
      </c>
      <c r="L30" s="172" t="e">
        <f>#REF!</f>
        <v>#REF!</v>
      </c>
      <c r="M30" s="172" t="e">
        <f>#REF!</f>
        <v>#REF!</v>
      </c>
      <c r="N30" s="172" t="e">
        <f>#REF!</f>
        <v>#REF!</v>
      </c>
      <c r="O30" s="172" t="e">
        <f>#REF!</f>
        <v>#REF!</v>
      </c>
      <c r="P30" s="172" t="e">
        <f>#REF!</f>
        <v>#REF!</v>
      </c>
      <c r="Q30" s="172" t="e">
        <f>#REF!</f>
        <v>#REF!</v>
      </c>
      <c r="R30" s="172" t="e">
        <f>#REF!</f>
        <v>#REF!</v>
      </c>
      <c r="S30" s="172" t="e">
        <f>#REF!</f>
        <v>#REF!</v>
      </c>
      <c r="T30" s="172" t="e">
        <f>#REF!</f>
        <v>#REF!</v>
      </c>
      <c r="U30" s="172" t="e">
        <f>#REF!</f>
        <v>#REF!</v>
      </c>
      <c r="V30" s="172" t="e">
        <f>#REF!</f>
        <v>#REF!</v>
      </c>
      <c r="W30" s="172" t="e">
        <f>#REF!</f>
        <v>#REF!</v>
      </c>
      <c r="X30" s="172" t="e">
        <f>#REF!</f>
        <v>#REF!</v>
      </c>
      <c r="Y30" s="172" t="e">
        <f>#REF!</f>
        <v>#REF!</v>
      </c>
      <c r="Z30" s="172" t="e">
        <f>#REF!</f>
        <v>#REF!</v>
      </c>
      <c r="AA30" s="172" t="e">
        <f>#REF!</f>
        <v>#REF!</v>
      </c>
      <c r="AB30" s="172" t="e">
        <f>#REF!</f>
        <v>#REF!</v>
      </c>
      <c r="AC30" s="172" t="e">
        <f>#REF!</f>
        <v>#REF!</v>
      </c>
      <c r="AD30" s="172" t="e">
        <f>#REF!</f>
        <v>#REF!</v>
      </c>
      <c r="AE30" s="172" t="e">
        <f>#REF!</f>
        <v>#REF!</v>
      </c>
      <c r="AF30" s="161" t="s">
        <v>56</v>
      </c>
      <c r="AG30" s="145" t="s">
        <v>57</v>
      </c>
    </row>
    <row r="31" spans="1:33" ht="18" hidden="1" x14ac:dyDescent="0.25">
      <c r="A31" s="174" t="s">
        <v>58</v>
      </c>
      <c r="B31" s="155" t="e">
        <f>B30*$B$17</f>
        <v>#REF!</v>
      </c>
      <c r="C31" s="155" t="e">
        <f t="shared" ref="C31:AE31" si="2">C30*$B$17</f>
        <v>#REF!</v>
      </c>
      <c r="D31" s="155" t="e">
        <f t="shared" si="2"/>
        <v>#REF!</v>
      </c>
      <c r="E31" s="155" t="e">
        <f t="shared" si="2"/>
        <v>#REF!</v>
      </c>
      <c r="F31" s="155" t="e">
        <f t="shared" si="2"/>
        <v>#REF!</v>
      </c>
      <c r="G31" s="155" t="e">
        <f t="shared" si="2"/>
        <v>#REF!</v>
      </c>
      <c r="H31" s="155" t="e">
        <f t="shared" si="2"/>
        <v>#REF!</v>
      </c>
      <c r="I31" s="155" t="e">
        <f t="shared" si="2"/>
        <v>#REF!</v>
      </c>
      <c r="J31" s="155" t="e">
        <f t="shared" si="2"/>
        <v>#REF!</v>
      </c>
      <c r="K31" s="155" t="e">
        <f t="shared" si="2"/>
        <v>#REF!</v>
      </c>
      <c r="L31" s="155" t="e">
        <f t="shared" si="2"/>
        <v>#REF!</v>
      </c>
      <c r="M31" s="155" t="e">
        <f t="shared" si="2"/>
        <v>#REF!</v>
      </c>
      <c r="N31" s="155" t="e">
        <f t="shared" si="2"/>
        <v>#REF!</v>
      </c>
      <c r="O31" s="155" t="e">
        <f t="shared" si="2"/>
        <v>#REF!</v>
      </c>
      <c r="P31" s="155" t="e">
        <f t="shared" si="2"/>
        <v>#REF!</v>
      </c>
      <c r="Q31" s="155" t="e">
        <f t="shared" si="2"/>
        <v>#REF!</v>
      </c>
      <c r="R31" s="155" t="e">
        <f t="shared" si="2"/>
        <v>#REF!</v>
      </c>
      <c r="S31" s="155" t="e">
        <f t="shared" si="2"/>
        <v>#REF!</v>
      </c>
      <c r="T31" s="155" t="e">
        <f t="shared" si="2"/>
        <v>#REF!</v>
      </c>
      <c r="U31" s="155" t="e">
        <f t="shared" si="2"/>
        <v>#REF!</v>
      </c>
      <c r="V31" s="155" t="e">
        <f t="shared" si="2"/>
        <v>#REF!</v>
      </c>
      <c r="W31" s="155" t="e">
        <f t="shared" si="2"/>
        <v>#REF!</v>
      </c>
      <c r="X31" s="155" t="e">
        <f t="shared" si="2"/>
        <v>#REF!</v>
      </c>
      <c r="Y31" s="155" t="e">
        <f t="shared" si="2"/>
        <v>#REF!</v>
      </c>
      <c r="Z31" s="155" t="e">
        <f t="shared" si="2"/>
        <v>#REF!</v>
      </c>
      <c r="AA31" s="155" t="e">
        <f t="shared" si="2"/>
        <v>#REF!</v>
      </c>
      <c r="AB31" s="155" t="e">
        <f t="shared" si="2"/>
        <v>#REF!</v>
      </c>
      <c r="AC31" s="155" t="e">
        <f t="shared" si="2"/>
        <v>#REF!</v>
      </c>
      <c r="AD31" s="155" t="e">
        <f t="shared" si="2"/>
        <v>#REF!</v>
      </c>
      <c r="AE31" s="155" t="e">
        <f t="shared" si="2"/>
        <v>#REF!</v>
      </c>
      <c r="AF31" s="175" t="e">
        <f>SUM(B31:AE31)</f>
        <v>#REF!</v>
      </c>
      <c r="AG31" s="147" t="e">
        <f>IF(#REF!=0,0,AF31/#REF!)</f>
        <v>#REF!</v>
      </c>
    </row>
    <row r="33" spans="3:3" x14ac:dyDescent="0.25">
      <c r="C33" s="476" t="s">
        <v>480</v>
      </c>
    </row>
  </sheetData>
  <sheetProtection formatCells="0" formatColumns="0" formatRows="0" insertColumns="0" insertRows="0"/>
  <customSheetViews>
    <customSheetView guid="{E65377FD-65C5-4E48-ADBC-1C49981F2400}" topLeftCell="A7">
      <selection activeCell="B15" sqref="B15:B17"/>
      <pageMargins left="0.7" right="0.7" top="0.75" bottom="0.75" header="0.3" footer="0.3"/>
      <pageSetup orientation="portrait" r:id="rId1"/>
    </customSheetView>
  </customSheetViews>
  <mergeCells count="1">
    <mergeCell ref="A2:V3"/>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2:J272"/>
  <sheetViews>
    <sheetView topLeftCell="A259" workbookViewId="0">
      <selection activeCell="A271" sqref="A271"/>
    </sheetView>
  </sheetViews>
  <sheetFormatPr defaultRowHeight="15" x14ac:dyDescent="0.25"/>
  <cols>
    <col min="1" max="1" width="16.7109375" customWidth="1"/>
    <col min="2" max="2" width="18.85546875" customWidth="1"/>
    <col min="3" max="3" width="15" customWidth="1"/>
    <col min="4" max="4" width="12.5703125"/>
    <col min="5" max="5" width="23.85546875" customWidth="1"/>
    <col min="6" max="6" width="20" customWidth="1"/>
    <col min="7" max="7" width="19.42578125" customWidth="1"/>
    <col min="8" max="8" width="19.28515625" customWidth="1"/>
    <col min="9" max="9" width="21.85546875" customWidth="1"/>
    <col min="10" max="10" width="17.140625" customWidth="1"/>
  </cols>
  <sheetData>
    <row r="2" spans="1:10" ht="51" customHeight="1" x14ac:dyDescent="0.25">
      <c r="A2" s="434" t="s">
        <v>299</v>
      </c>
      <c r="B2" s="435"/>
      <c r="C2" s="435"/>
      <c r="D2" s="435"/>
      <c r="E2" s="435"/>
      <c r="F2" s="435"/>
      <c r="G2" s="435"/>
      <c r="H2" s="436"/>
    </row>
    <row r="4" spans="1:10" x14ac:dyDescent="0.25">
      <c r="A4" s="402" t="s">
        <v>300</v>
      </c>
      <c r="B4" s="11"/>
      <c r="C4" s="11"/>
      <c r="D4" s="11"/>
      <c r="E4" s="11"/>
      <c r="F4" s="11"/>
      <c r="G4" s="11"/>
      <c r="H4" s="11"/>
      <c r="I4" s="11"/>
      <c r="J4" s="11"/>
    </row>
    <row r="5" spans="1:10" x14ac:dyDescent="0.25">
      <c r="A5" s="11"/>
      <c r="B5" s="11"/>
      <c r="C5" s="11"/>
      <c r="D5" s="11"/>
      <c r="E5" s="11"/>
      <c r="F5" s="11"/>
      <c r="G5" s="11"/>
      <c r="H5" s="11"/>
      <c r="I5" s="11"/>
      <c r="J5" s="11"/>
    </row>
    <row r="6" spans="1:10" x14ac:dyDescent="0.25">
      <c r="A6" s="405" t="s">
        <v>301</v>
      </c>
      <c r="B6" s="11"/>
      <c r="C6" s="184"/>
      <c r="D6" s="137"/>
      <c r="E6" s="11"/>
      <c r="F6" s="11"/>
      <c r="G6" s="11"/>
      <c r="H6" s="11"/>
      <c r="I6" s="11"/>
      <c r="J6" s="11"/>
    </row>
    <row r="7" spans="1:10" x14ac:dyDescent="0.25">
      <c r="A7" s="11"/>
      <c r="B7" s="11"/>
      <c r="C7" s="11"/>
      <c r="D7" s="11"/>
      <c r="E7" s="11"/>
      <c r="F7" s="11"/>
      <c r="G7" s="11"/>
      <c r="H7" s="11"/>
      <c r="I7" s="11"/>
      <c r="J7" s="137"/>
    </row>
    <row r="8" spans="1:10" ht="31.5" customHeight="1" x14ac:dyDescent="0.25">
      <c r="A8" s="402" t="s">
        <v>302</v>
      </c>
      <c r="B8" s="11"/>
      <c r="C8" s="11"/>
      <c r="D8" s="11"/>
      <c r="E8" s="437" t="s">
        <v>303</v>
      </c>
      <c r="F8" s="437"/>
      <c r="G8" s="437"/>
      <c r="H8" s="437"/>
      <c r="I8" s="437"/>
      <c r="J8" s="437"/>
    </row>
    <row r="9" spans="1:10" x14ac:dyDescent="0.25">
      <c r="A9" s="11"/>
      <c r="B9" s="11"/>
      <c r="C9" s="11"/>
      <c r="D9" s="11"/>
      <c r="E9" s="11"/>
      <c r="F9" s="11"/>
      <c r="G9" s="11"/>
      <c r="H9" s="11"/>
      <c r="I9" s="11"/>
      <c r="J9" s="11"/>
    </row>
    <row r="10" spans="1:10" ht="30" x14ac:dyDescent="0.25">
      <c r="A10" s="11"/>
      <c r="B10" s="11"/>
      <c r="C10" s="11"/>
      <c r="D10" s="11"/>
      <c r="E10" s="252" t="s">
        <v>314</v>
      </c>
      <c r="F10" s="252" t="s">
        <v>315</v>
      </c>
      <c r="G10" s="39" t="s">
        <v>316</v>
      </c>
      <c r="H10" s="39" t="s">
        <v>317</v>
      </c>
      <c r="I10" s="39" t="s">
        <v>318</v>
      </c>
      <c r="J10" s="11"/>
    </row>
    <row r="11" spans="1:10" x14ac:dyDescent="0.25">
      <c r="A11" s="405" t="s">
        <v>304</v>
      </c>
      <c r="B11" s="11"/>
      <c r="C11" s="184"/>
      <c r="D11" s="405" t="s">
        <v>324</v>
      </c>
      <c r="E11" s="184"/>
      <c r="F11" s="184"/>
      <c r="G11" s="184"/>
      <c r="H11" s="184"/>
      <c r="I11" s="184"/>
      <c r="J11" s="253" t="str">
        <f>CONCATENATE(E11,F11,G11,H11,I11)</f>
        <v/>
      </c>
    </row>
    <row r="12" spans="1:10" ht="30" x14ac:dyDescent="0.25">
      <c r="A12" s="11"/>
      <c r="B12" s="11"/>
      <c r="C12" s="137"/>
      <c r="D12" s="11"/>
      <c r="E12" s="252" t="s">
        <v>319</v>
      </c>
      <c r="F12" s="252" t="s">
        <v>320</v>
      </c>
      <c r="G12" s="39" t="s">
        <v>321</v>
      </c>
      <c r="H12" s="13"/>
      <c r="I12" s="11"/>
      <c r="J12" s="11"/>
    </row>
    <row r="13" spans="1:10" x14ac:dyDescent="0.25">
      <c r="A13" s="404" t="s">
        <v>305</v>
      </c>
      <c r="B13" s="11"/>
      <c r="C13" s="184"/>
      <c r="D13" s="404" t="s">
        <v>325</v>
      </c>
      <c r="E13" s="184"/>
      <c r="F13" s="184"/>
      <c r="G13" s="184"/>
      <c r="H13" s="253" t="str">
        <f>CONCATENATE(E13,F13,G13)</f>
        <v/>
      </c>
      <c r="I13" s="254" t="str">
        <f>IF(H13&gt;"Y","WARNING","")</f>
        <v/>
      </c>
      <c r="J13" s="11"/>
    </row>
    <row r="14" spans="1:10" ht="30" x14ac:dyDescent="0.25">
      <c r="A14" s="11"/>
      <c r="B14" s="11"/>
      <c r="C14" s="137"/>
      <c r="D14" s="11"/>
      <c r="E14" s="39" t="s">
        <v>323</v>
      </c>
      <c r="F14" s="39" t="s">
        <v>322</v>
      </c>
      <c r="G14" s="11"/>
      <c r="H14" s="11"/>
      <c r="I14" s="11"/>
      <c r="J14" s="11"/>
    </row>
    <row r="15" spans="1:10" x14ac:dyDescent="0.25">
      <c r="A15" s="404" t="s">
        <v>306</v>
      </c>
      <c r="B15" s="11"/>
      <c r="C15" s="184"/>
      <c r="D15" s="404" t="s">
        <v>326</v>
      </c>
      <c r="E15" s="184"/>
      <c r="F15" s="184"/>
      <c r="G15" s="253" t="str">
        <f>CONCATENATE(E15,F15)</f>
        <v/>
      </c>
      <c r="H15" s="11" t="str">
        <f>IF(G15&gt;"Y","WARNING","")</f>
        <v/>
      </c>
      <c r="I15" s="11"/>
      <c r="J15" s="11"/>
    </row>
    <row r="16" spans="1:10" x14ac:dyDescent="0.25">
      <c r="A16" s="11"/>
      <c r="B16" s="11"/>
      <c r="C16" s="11"/>
      <c r="D16" s="11"/>
      <c r="E16" s="11"/>
      <c r="F16" s="11"/>
      <c r="G16" s="11"/>
      <c r="H16" s="11"/>
      <c r="I16" s="11"/>
      <c r="J16" s="11"/>
    </row>
    <row r="17" spans="1:10" x14ac:dyDescent="0.25">
      <c r="A17" s="11"/>
      <c r="B17" s="11"/>
      <c r="C17" s="11"/>
      <c r="D17" s="11"/>
      <c r="E17" s="11"/>
      <c r="F17" s="11"/>
      <c r="G17" s="11"/>
      <c r="H17" s="11"/>
      <c r="I17" s="11"/>
      <c r="J17" s="11"/>
    </row>
    <row r="18" spans="1:10" x14ac:dyDescent="0.25">
      <c r="A18" s="402" t="s">
        <v>333</v>
      </c>
      <c r="B18" s="11"/>
      <c r="C18" s="11"/>
      <c r="D18" s="11"/>
      <c r="E18" s="255"/>
      <c r="F18" s="137"/>
      <c r="G18" s="137"/>
      <c r="H18" s="137"/>
      <c r="I18" s="137"/>
      <c r="J18" s="11"/>
    </row>
    <row r="19" spans="1:10" x14ac:dyDescent="0.25">
      <c r="A19" s="11"/>
      <c r="B19" s="11"/>
      <c r="C19" s="11"/>
      <c r="D19" s="11"/>
      <c r="E19" s="137"/>
      <c r="F19" s="137"/>
      <c r="G19" s="137"/>
      <c r="H19" s="137"/>
      <c r="I19" s="137"/>
      <c r="J19" s="11"/>
    </row>
    <row r="20" spans="1:10" x14ac:dyDescent="0.25">
      <c r="A20" s="404" t="s">
        <v>307</v>
      </c>
      <c r="B20" s="11"/>
      <c r="C20" s="184"/>
      <c r="D20" s="404" t="s">
        <v>327</v>
      </c>
      <c r="E20" s="255"/>
      <c r="F20" s="137"/>
      <c r="G20" s="137"/>
      <c r="H20" s="137"/>
      <c r="I20" s="137"/>
      <c r="J20" s="11"/>
    </row>
    <row r="21" spans="1:10" x14ac:dyDescent="0.25">
      <c r="A21" s="404" t="s">
        <v>308</v>
      </c>
      <c r="B21" s="11"/>
      <c r="C21" s="184"/>
      <c r="D21" s="404" t="s">
        <v>328</v>
      </c>
      <c r="E21" s="137"/>
      <c r="F21" s="137"/>
      <c r="G21" s="137"/>
      <c r="H21" s="137"/>
      <c r="I21" s="137"/>
      <c r="J21" s="11"/>
    </row>
    <row r="22" spans="1:10" x14ac:dyDescent="0.25">
      <c r="A22" s="404" t="s">
        <v>309</v>
      </c>
      <c r="B22" s="11"/>
      <c r="C22" s="184"/>
      <c r="D22" s="11" t="s">
        <v>98</v>
      </c>
      <c r="E22" s="255"/>
      <c r="F22" s="137"/>
      <c r="G22" s="137"/>
      <c r="H22" s="137"/>
      <c r="I22" s="137"/>
      <c r="J22" s="11"/>
    </row>
    <row r="23" spans="1:10" x14ac:dyDescent="0.25">
      <c r="A23" s="11"/>
      <c r="B23" s="11"/>
      <c r="C23" s="11"/>
      <c r="D23" s="11"/>
      <c r="E23" s="137"/>
      <c r="F23" s="137"/>
      <c r="G23" s="137"/>
      <c r="H23" s="137"/>
      <c r="I23" s="137"/>
      <c r="J23" s="11"/>
    </row>
    <row r="24" spans="1:10" x14ac:dyDescent="0.25">
      <c r="A24" s="11"/>
      <c r="B24" s="11"/>
      <c r="C24" s="11"/>
      <c r="D24" s="11"/>
      <c r="E24" s="137"/>
      <c r="F24" s="137"/>
      <c r="G24" s="137"/>
      <c r="H24" s="137"/>
      <c r="I24" s="137"/>
      <c r="J24" s="11"/>
    </row>
    <row r="25" spans="1:10" x14ac:dyDescent="0.25">
      <c r="A25" s="402" t="s">
        <v>334</v>
      </c>
      <c r="B25" s="11"/>
      <c r="C25" s="11"/>
      <c r="D25" s="11"/>
      <c r="E25" s="255"/>
      <c r="F25" s="137"/>
      <c r="G25" s="137"/>
      <c r="H25" s="137"/>
      <c r="I25" s="137"/>
      <c r="J25" s="11"/>
    </row>
    <row r="26" spans="1:10" x14ac:dyDescent="0.25">
      <c r="A26" s="404" t="s">
        <v>310</v>
      </c>
      <c r="B26" s="11"/>
      <c r="C26" s="184"/>
      <c r="D26" s="404" t="s">
        <v>329</v>
      </c>
      <c r="E26" s="137"/>
      <c r="F26" s="137"/>
      <c r="G26" s="137"/>
      <c r="H26" s="137"/>
      <c r="I26" s="137"/>
      <c r="J26" s="11"/>
    </row>
    <row r="27" spans="1:10" x14ac:dyDescent="0.25">
      <c r="A27" s="404" t="s">
        <v>311</v>
      </c>
      <c r="B27" s="11"/>
      <c r="C27" s="184"/>
      <c r="D27" s="404" t="s">
        <v>330</v>
      </c>
      <c r="E27" s="255"/>
      <c r="F27" s="137"/>
      <c r="G27" s="137"/>
      <c r="H27" s="137"/>
      <c r="I27" s="137"/>
      <c r="J27" s="11"/>
    </row>
    <row r="28" spans="1:10" x14ac:dyDescent="0.25">
      <c r="A28" s="404" t="s">
        <v>312</v>
      </c>
      <c r="B28" s="11"/>
      <c r="C28" s="184"/>
      <c r="D28" s="404" t="s">
        <v>331</v>
      </c>
      <c r="E28" s="255"/>
      <c r="F28" s="137"/>
      <c r="G28" s="137"/>
      <c r="H28" s="137"/>
      <c r="I28" s="137"/>
      <c r="J28" s="11"/>
    </row>
    <row r="29" spans="1:10" x14ac:dyDescent="0.25">
      <c r="A29" s="404" t="s">
        <v>313</v>
      </c>
      <c r="B29" s="11"/>
      <c r="C29" s="184"/>
      <c r="D29" s="404" t="s">
        <v>332</v>
      </c>
      <c r="E29" s="137"/>
      <c r="F29" s="137"/>
      <c r="G29" s="137"/>
      <c r="H29" s="137"/>
      <c r="I29" s="137"/>
      <c r="J29" s="11"/>
    </row>
    <row r="30" spans="1:10" x14ac:dyDescent="0.25">
      <c r="A30" s="11"/>
      <c r="B30" s="11"/>
      <c r="C30" s="137"/>
      <c r="D30" s="11"/>
      <c r="E30" s="137"/>
      <c r="F30" s="11"/>
      <c r="G30" s="137"/>
      <c r="H30" s="137"/>
      <c r="I30" s="137"/>
      <c r="J30" s="11"/>
    </row>
    <row r="31" spans="1:10" x14ac:dyDescent="0.25">
      <c r="A31" s="11"/>
      <c r="B31" s="11"/>
      <c r="C31" s="11"/>
      <c r="D31" s="11"/>
      <c r="E31" s="137"/>
      <c r="F31" s="137"/>
      <c r="G31" s="137"/>
      <c r="H31" s="137"/>
      <c r="I31" s="137"/>
      <c r="J31" s="11"/>
    </row>
    <row r="32" spans="1:10" x14ac:dyDescent="0.25">
      <c r="A32" s="11"/>
      <c r="B32" s="11"/>
      <c r="C32" s="11"/>
      <c r="D32" s="11"/>
      <c r="E32" s="11"/>
      <c r="F32" s="11"/>
      <c r="G32" s="11"/>
      <c r="H32" s="11"/>
      <c r="I32" s="11"/>
      <c r="J32" s="11"/>
    </row>
    <row r="33" spans="1:10" x14ac:dyDescent="0.25">
      <c r="A33" s="11"/>
      <c r="B33" s="11"/>
      <c r="C33" s="11"/>
      <c r="D33" s="11"/>
      <c r="E33" s="11"/>
      <c r="F33" s="11"/>
      <c r="G33" s="11"/>
      <c r="H33" s="11"/>
      <c r="I33" s="11"/>
      <c r="J33" s="11"/>
    </row>
    <row r="34" spans="1:10" x14ac:dyDescent="0.25">
      <c r="A34" s="256" t="s">
        <v>335</v>
      </c>
      <c r="B34" s="256"/>
      <c r="C34" s="257">
        <f>1000*((('5. Pupuk pilihan pengguna'!C11/100)*'Data default'!C73:D73)+(('5. Pupuk pilihan pengguna'!C13/100)*'Data default'!C79:D79)+(('5. Pupuk pilihan pengguna'!C15/100)*'Data default'!C84:D84)+(('5. Pupuk pilihan pengguna'!C20/100)*'Data default'!C86:D86)+(('5. Pupuk pilihan pengguna'!C21/100)*'Data default'!C87:D87)+(('5. Pupuk pilihan pengguna'!C22/100)*'Data default'!C88:D88)+(('5. Pupuk pilihan pengguna'!C26/100)*'Data default'!C89:D89)+(('5. Pupuk pilihan pengguna'!C27/100)*'Data default'!C90:D90)+(('5. Pupuk pilihan pengguna'!C28/100)*'Data default'!C91:D91)+(('5. Pupuk pilihan pengguna'!C29/100)*'Data default'!C92:D92))</f>
        <v>0</v>
      </c>
      <c r="D34" s="11"/>
      <c r="E34" s="11"/>
      <c r="F34" s="11"/>
      <c r="G34" s="11"/>
      <c r="H34" s="11"/>
      <c r="I34" s="11"/>
      <c r="J34" s="11"/>
    </row>
    <row r="35" spans="1:10" s="319" customFormat="1" ht="15.75" thickBot="1" x14ac:dyDescent="0.3"/>
    <row r="36" spans="1:10" x14ac:dyDescent="0.25">
      <c r="A36" s="272"/>
      <c r="B36" s="272"/>
      <c r="C36" s="272"/>
      <c r="D36" s="272"/>
      <c r="E36" s="272"/>
      <c r="F36" s="272"/>
      <c r="G36" s="272"/>
      <c r="H36" s="272"/>
      <c r="I36" s="272"/>
      <c r="J36" s="272"/>
    </row>
    <row r="37" spans="1:10" x14ac:dyDescent="0.25">
      <c r="A37" s="405" t="s">
        <v>301</v>
      </c>
      <c r="B37" s="272"/>
      <c r="C37" s="184"/>
      <c r="D37" s="137"/>
      <c r="E37" s="272"/>
      <c r="F37" s="272"/>
      <c r="G37" s="272"/>
      <c r="H37" s="272"/>
      <c r="I37" s="272"/>
      <c r="J37" s="272"/>
    </row>
    <row r="38" spans="1:10" x14ac:dyDescent="0.25">
      <c r="A38" s="272"/>
      <c r="B38" s="272"/>
      <c r="C38" s="272"/>
      <c r="D38" s="272"/>
      <c r="E38" s="272"/>
      <c r="F38" s="272"/>
      <c r="G38" s="272"/>
      <c r="H38" s="272"/>
      <c r="I38" s="272"/>
      <c r="J38" s="137"/>
    </row>
    <row r="39" spans="1:10" ht="32.1" customHeight="1" x14ac:dyDescent="0.25">
      <c r="A39" s="402" t="s">
        <v>302</v>
      </c>
      <c r="B39" s="272"/>
      <c r="C39" s="272"/>
      <c r="D39" s="272"/>
      <c r="E39" s="437" t="s">
        <v>303</v>
      </c>
      <c r="F39" s="437"/>
      <c r="G39" s="437"/>
      <c r="H39" s="437"/>
      <c r="I39" s="437"/>
      <c r="J39" s="437"/>
    </row>
    <row r="40" spans="1:10" x14ac:dyDescent="0.25">
      <c r="A40" s="272"/>
      <c r="B40" s="272"/>
      <c r="C40" s="272"/>
      <c r="D40" s="272"/>
      <c r="E40" s="272"/>
      <c r="F40" s="272"/>
      <c r="G40" s="272"/>
      <c r="H40" s="272"/>
      <c r="I40" s="272"/>
      <c r="J40" s="272"/>
    </row>
    <row r="41" spans="1:10" ht="30" x14ac:dyDescent="0.25">
      <c r="A41" s="272"/>
      <c r="B41" s="272"/>
      <c r="C41" s="272"/>
      <c r="D41" s="272"/>
      <c r="E41" s="252" t="s">
        <v>314</v>
      </c>
      <c r="F41" s="252" t="s">
        <v>315</v>
      </c>
      <c r="G41" s="252" t="s">
        <v>316</v>
      </c>
      <c r="H41" s="252" t="s">
        <v>317</v>
      </c>
      <c r="I41" s="252" t="s">
        <v>318</v>
      </c>
      <c r="J41" s="272"/>
    </row>
    <row r="42" spans="1:10" x14ac:dyDescent="0.25">
      <c r="A42" s="404" t="s">
        <v>304</v>
      </c>
      <c r="B42" s="272"/>
      <c r="C42" s="184"/>
      <c r="D42" s="404" t="s">
        <v>324</v>
      </c>
      <c r="E42" s="184"/>
      <c r="F42" s="184"/>
      <c r="G42" s="184"/>
      <c r="H42" s="184"/>
      <c r="I42" s="184"/>
      <c r="J42" s="253" t="str">
        <f>CONCATENATE(E42,F42,G42,H42,I42)</f>
        <v/>
      </c>
    </row>
    <row r="43" spans="1:10" ht="30" x14ac:dyDescent="0.25">
      <c r="A43" s="272"/>
      <c r="B43" s="272"/>
      <c r="C43" s="137"/>
      <c r="D43" s="272"/>
      <c r="E43" s="252" t="s">
        <v>319</v>
      </c>
      <c r="F43" s="252" t="s">
        <v>320</v>
      </c>
      <c r="G43" s="252" t="s">
        <v>321</v>
      </c>
      <c r="H43" s="13"/>
      <c r="I43" s="272"/>
      <c r="J43" s="272"/>
    </row>
    <row r="44" spans="1:10" x14ac:dyDescent="0.25">
      <c r="A44" s="404" t="s">
        <v>305</v>
      </c>
      <c r="B44" s="272"/>
      <c r="C44" s="184"/>
      <c r="D44" s="404" t="s">
        <v>325</v>
      </c>
      <c r="E44" s="184"/>
      <c r="F44" s="184"/>
      <c r="G44" s="184"/>
      <c r="H44" s="253" t="str">
        <f>CONCATENATE(E44,F44,G44)</f>
        <v/>
      </c>
      <c r="I44" s="254" t="str">
        <f>IF(H44&gt;"Y","WARNING","")</f>
        <v/>
      </c>
      <c r="J44" s="272"/>
    </row>
    <row r="45" spans="1:10" ht="30" x14ac:dyDescent="0.25">
      <c r="A45" s="272"/>
      <c r="B45" s="272"/>
      <c r="C45" s="137"/>
      <c r="D45" s="272"/>
      <c r="E45" s="252" t="s">
        <v>323</v>
      </c>
      <c r="F45" s="252" t="s">
        <v>322</v>
      </c>
      <c r="G45" s="272"/>
      <c r="H45" s="272"/>
      <c r="I45" s="272"/>
      <c r="J45" s="272"/>
    </row>
    <row r="46" spans="1:10" x14ac:dyDescent="0.25">
      <c r="A46" s="404" t="s">
        <v>306</v>
      </c>
      <c r="B46" s="272"/>
      <c r="C46" s="184"/>
      <c r="D46" s="404" t="s">
        <v>326</v>
      </c>
      <c r="E46" s="184"/>
      <c r="F46" s="184"/>
      <c r="G46" s="253" t="str">
        <f>CONCATENATE(E46,F46)</f>
        <v/>
      </c>
      <c r="H46" s="272" t="str">
        <f>IF(G46&gt;"Y","WARNING","")</f>
        <v/>
      </c>
      <c r="I46" s="272"/>
      <c r="J46" s="272"/>
    </row>
    <row r="47" spans="1:10" x14ac:dyDescent="0.25">
      <c r="A47" s="272"/>
      <c r="B47" s="272"/>
      <c r="C47" s="272"/>
      <c r="D47" s="272"/>
      <c r="E47" s="272"/>
      <c r="F47" s="272"/>
      <c r="G47" s="272"/>
      <c r="H47" s="272"/>
      <c r="I47" s="272"/>
      <c r="J47" s="272"/>
    </row>
    <row r="48" spans="1:10" x14ac:dyDescent="0.25">
      <c r="A48" s="402" t="s">
        <v>333</v>
      </c>
      <c r="B48" s="272"/>
      <c r="C48" s="272"/>
      <c r="D48" s="272"/>
      <c r="E48" s="255"/>
      <c r="F48" s="137"/>
      <c r="G48" s="137"/>
      <c r="H48" s="137"/>
      <c r="I48" s="137"/>
      <c r="J48" s="272"/>
    </row>
    <row r="49" spans="1:10" x14ac:dyDescent="0.25">
      <c r="A49" s="272"/>
      <c r="B49" s="272"/>
      <c r="C49" s="272"/>
      <c r="D49" s="272"/>
      <c r="E49" s="137"/>
      <c r="F49" s="137"/>
      <c r="G49" s="137"/>
      <c r="H49" s="137"/>
      <c r="I49" s="137"/>
      <c r="J49" s="272"/>
    </row>
    <row r="50" spans="1:10" x14ac:dyDescent="0.25">
      <c r="A50" s="404" t="s">
        <v>307</v>
      </c>
      <c r="B50" s="272"/>
      <c r="C50" s="184"/>
      <c r="D50" s="404" t="s">
        <v>327</v>
      </c>
      <c r="E50" s="255"/>
      <c r="F50" s="137"/>
      <c r="G50" s="137"/>
      <c r="H50" s="137"/>
      <c r="I50" s="137"/>
      <c r="J50" s="272"/>
    </row>
    <row r="51" spans="1:10" x14ac:dyDescent="0.25">
      <c r="A51" s="404" t="s">
        <v>308</v>
      </c>
      <c r="B51" s="272"/>
      <c r="C51" s="184"/>
      <c r="D51" s="404" t="s">
        <v>328</v>
      </c>
      <c r="E51" s="137"/>
      <c r="F51" s="137"/>
      <c r="G51" s="137"/>
      <c r="H51" s="137"/>
      <c r="I51" s="137"/>
      <c r="J51" s="272"/>
    </row>
    <row r="52" spans="1:10" x14ac:dyDescent="0.25">
      <c r="A52" s="404" t="s">
        <v>309</v>
      </c>
      <c r="B52" s="272"/>
      <c r="C52" s="184"/>
      <c r="D52" s="272" t="s">
        <v>98</v>
      </c>
      <c r="E52" s="255"/>
      <c r="F52" s="137"/>
      <c r="G52" s="137"/>
      <c r="H52" s="137"/>
      <c r="I52" s="137"/>
      <c r="J52" s="272"/>
    </row>
    <row r="53" spans="1:10" x14ac:dyDescent="0.25">
      <c r="A53" s="272"/>
      <c r="B53" s="272"/>
      <c r="C53" s="272"/>
      <c r="D53" s="272"/>
      <c r="E53" s="137"/>
      <c r="F53" s="137"/>
      <c r="G53" s="137"/>
      <c r="H53" s="137"/>
      <c r="I53" s="137"/>
      <c r="J53" s="272"/>
    </row>
    <row r="54" spans="1:10" x14ac:dyDescent="0.25">
      <c r="A54" s="402" t="s">
        <v>334</v>
      </c>
      <c r="B54" s="272"/>
      <c r="C54" s="272"/>
      <c r="D54" s="272"/>
      <c r="E54" s="255"/>
      <c r="F54" s="137"/>
      <c r="G54" s="137"/>
      <c r="H54" s="137"/>
      <c r="I54" s="137"/>
      <c r="J54" s="272"/>
    </row>
    <row r="55" spans="1:10" x14ac:dyDescent="0.25">
      <c r="A55" s="404" t="s">
        <v>310</v>
      </c>
      <c r="B55" s="272"/>
      <c r="C55" s="184"/>
      <c r="D55" s="404" t="s">
        <v>329</v>
      </c>
      <c r="E55" s="137"/>
      <c r="F55" s="137"/>
      <c r="G55" s="137"/>
      <c r="H55" s="137"/>
      <c r="I55" s="137"/>
      <c r="J55" s="272"/>
    </row>
    <row r="56" spans="1:10" x14ac:dyDescent="0.25">
      <c r="A56" s="404" t="s">
        <v>311</v>
      </c>
      <c r="B56" s="272"/>
      <c r="C56" s="184"/>
      <c r="D56" s="404" t="s">
        <v>330</v>
      </c>
      <c r="E56" s="255"/>
      <c r="F56" s="137"/>
      <c r="G56" s="137"/>
      <c r="H56" s="137"/>
      <c r="I56" s="137"/>
      <c r="J56" s="272"/>
    </row>
    <row r="57" spans="1:10" x14ac:dyDescent="0.25">
      <c r="A57" s="404" t="s">
        <v>312</v>
      </c>
      <c r="B57" s="272"/>
      <c r="C57" s="184"/>
      <c r="D57" s="404" t="s">
        <v>331</v>
      </c>
      <c r="E57" s="255"/>
      <c r="F57" s="137"/>
      <c r="G57" s="137"/>
      <c r="H57" s="137"/>
      <c r="I57" s="137"/>
      <c r="J57" s="272"/>
    </row>
    <row r="58" spans="1:10" x14ac:dyDescent="0.25">
      <c r="A58" s="404" t="s">
        <v>313</v>
      </c>
      <c r="B58" s="272"/>
      <c r="C58" s="184"/>
      <c r="D58" s="404" t="s">
        <v>332</v>
      </c>
      <c r="E58" s="137"/>
      <c r="F58" s="137"/>
      <c r="G58" s="137"/>
      <c r="H58" s="137"/>
      <c r="I58" s="137"/>
      <c r="J58" s="272"/>
    </row>
    <row r="59" spans="1:10" x14ac:dyDescent="0.25">
      <c r="A59" s="272"/>
      <c r="B59" s="272"/>
      <c r="C59" s="272"/>
      <c r="D59" s="272"/>
      <c r="E59" s="272"/>
      <c r="F59" s="272"/>
      <c r="G59" s="272"/>
      <c r="H59" s="272"/>
      <c r="I59" s="272"/>
      <c r="J59" s="272"/>
    </row>
    <row r="60" spans="1:10" x14ac:dyDescent="0.25">
      <c r="A60" s="256" t="s">
        <v>335</v>
      </c>
      <c r="B60" s="256"/>
      <c r="C60" s="257">
        <f>1000*((('5. Pupuk pilihan pengguna'!C42/100)*'Data default'!C104:D104)+(('5. Pupuk pilihan pengguna'!C44/100)*'Data default'!C110:D110)+(('5. Pupuk pilihan pengguna'!C46/100)*'Data default'!C115:D115)+(('5. Pupuk pilihan pengguna'!C50/100)*'Data default'!C117:D117)+(('5. Pupuk pilihan pengguna'!C51/100)*'Data default'!C118:D118)+(('5. Pupuk pilihan pengguna'!C52/100)*'Data default'!C119:D119)+(('5. Pupuk pilihan pengguna'!C55/100)*'Data default'!C120:D120)+(('5. Pupuk pilihan pengguna'!C56/100)*'Data default'!C121:D121)+(('5. Pupuk pilihan pengguna'!C57/100)*'Data default'!C122:D122)+(('5. Pupuk pilihan pengguna'!C58/100)*'Data default'!C123:D123))</f>
        <v>0</v>
      </c>
      <c r="D60" s="272"/>
      <c r="E60" s="272"/>
      <c r="F60" s="272"/>
      <c r="G60" s="272"/>
      <c r="H60" s="272"/>
      <c r="I60" s="272"/>
      <c r="J60" s="272"/>
    </row>
    <row r="61" spans="1:10" s="319" customFormat="1" ht="15.75" thickBot="1" x14ac:dyDescent="0.3"/>
    <row r="62" spans="1:10" x14ac:dyDescent="0.25">
      <c r="A62" s="272"/>
      <c r="B62" s="272"/>
      <c r="C62" s="272"/>
      <c r="D62" s="272"/>
      <c r="E62" s="272"/>
      <c r="F62" s="272"/>
      <c r="G62" s="272"/>
      <c r="H62" s="272"/>
      <c r="I62" s="272"/>
      <c r="J62" s="272"/>
    </row>
    <row r="63" spans="1:10" x14ac:dyDescent="0.25">
      <c r="A63" s="404" t="s">
        <v>301</v>
      </c>
      <c r="B63" s="272"/>
      <c r="C63" s="184"/>
      <c r="D63" s="137"/>
      <c r="E63" s="272"/>
      <c r="F63" s="272"/>
      <c r="G63" s="272"/>
      <c r="H63" s="272"/>
      <c r="I63" s="272"/>
      <c r="J63" s="272"/>
    </row>
    <row r="64" spans="1:10" x14ac:dyDescent="0.25">
      <c r="A64" s="272"/>
      <c r="B64" s="272"/>
      <c r="C64" s="272"/>
      <c r="D64" s="272"/>
      <c r="E64" s="272"/>
      <c r="F64" s="272"/>
      <c r="G64" s="272"/>
      <c r="H64" s="272"/>
      <c r="I64" s="272"/>
      <c r="J64" s="137"/>
    </row>
    <row r="65" spans="1:10" ht="32.1" customHeight="1" x14ac:dyDescent="0.25">
      <c r="A65" s="402" t="s">
        <v>302</v>
      </c>
      <c r="B65" s="272"/>
      <c r="C65" s="272"/>
      <c r="D65" s="272"/>
      <c r="E65" s="437" t="s">
        <v>303</v>
      </c>
      <c r="F65" s="437"/>
      <c r="G65" s="437"/>
      <c r="H65" s="437"/>
      <c r="I65" s="437"/>
      <c r="J65" s="437"/>
    </row>
    <row r="66" spans="1:10" x14ac:dyDescent="0.25">
      <c r="A66" s="272"/>
      <c r="B66" s="272"/>
      <c r="C66" s="272"/>
      <c r="D66" s="272"/>
      <c r="E66" s="272"/>
      <c r="F66" s="272"/>
      <c r="G66" s="272"/>
      <c r="H66" s="272"/>
      <c r="I66" s="272"/>
      <c r="J66" s="272"/>
    </row>
    <row r="67" spans="1:10" ht="30" x14ac:dyDescent="0.25">
      <c r="A67" s="272"/>
      <c r="B67" s="272"/>
      <c r="C67" s="272"/>
      <c r="D67" s="272"/>
      <c r="E67" s="252" t="s">
        <v>314</v>
      </c>
      <c r="F67" s="252" t="s">
        <v>315</v>
      </c>
      <c r="G67" s="252" t="s">
        <v>316</v>
      </c>
      <c r="H67" s="252" t="s">
        <v>317</v>
      </c>
      <c r="I67" s="252" t="s">
        <v>318</v>
      </c>
      <c r="J67" s="272"/>
    </row>
    <row r="68" spans="1:10" x14ac:dyDescent="0.25">
      <c r="A68" s="404" t="s">
        <v>304</v>
      </c>
      <c r="B68" s="272"/>
      <c r="C68" s="184"/>
      <c r="D68" s="404" t="s">
        <v>324</v>
      </c>
      <c r="E68" s="184"/>
      <c r="F68" s="184"/>
      <c r="G68" s="184"/>
      <c r="H68" s="184"/>
      <c r="I68" s="184"/>
      <c r="J68" s="253" t="str">
        <f>CONCATENATE(E68,F68,G68,H68,I68)</f>
        <v/>
      </c>
    </row>
    <row r="69" spans="1:10" ht="30" x14ac:dyDescent="0.25">
      <c r="A69" s="272"/>
      <c r="B69" s="272"/>
      <c r="C69" s="137"/>
      <c r="D69" s="272"/>
      <c r="E69" s="252" t="s">
        <v>319</v>
      </c>
      <c r="F69" s="252" t="s">
        <v>320</v>
      </c>
      <c r="G69" s="252" t="s">
        <v>321</v>
      </c>
      <c r="H69" s="13"/>
      <c r="I69" s="272"/>
      <c r="J69" s="272"/>
    </row>
    <row r="70" spans="1:10" x14ac:dyDescent="0.25">
      <c r="A70" s="404" t="s">
        <v>305</v>
      </c>
      <c r="B70" s="272"/>
      <c r="C70" s="184"/>
      <c r="D70" s="404" t="s">
        <v>325</v>
      </c>
      <c r="E70" s="184"/>
      <c r="F70" s="184"/>
      <c r="G70" s="184"/>
      <c r="H70" s="253" t="str">
        <f>CONCATENATE(E70,F70,G70)</f>
        <v/>
      </c>
      <c r="I70" s="254" t="str">
        <f>IF(H70&gt;"Y","WARNING","")</f>
        <v/>
      </c>
      <c r="J70" s="272"/>
    </row>
    <row r="71" spans="1:10" ht="30" x14ac:dyDescent="0.25">
      <c r="A71" s="272"/>
      <c r="B71" s="272"/>
      <c r="C71" s="137"/>
      <c r="D71" s="272"/>
      <c r="E71" s="252" t="s">
        <v>323</v>
      </c>
      <c r="F71" s="252" t="s">
        <v>322</v>
      </c>
      <c r="G71" s="272"/>
      <c r="H71" s="272"/>
      <c r="I71" s="272"/>
      <c r="J71" s="272"/>
    </row>
    <row r="72" spans="1:10" x14ac:dyDescent="0.25">
      <c r="A72" s="404" t="s">
        <v>306</v>
      </c>
      <c r="B72" s="272"/>
      <c r="C72" s="184"/>
      <c r="D72" s="404" t="s">
        <v>326</v>
      </c>
      <c r="E72" s="184"/>
      <c r="F72" s="184"/>
      <c r="G72" s="253" t="str">
        <f>CONCATENATE(E72,F72)</f>
        <v/>
      </c>
      <c r="H72" s="272" t="str">
        <f>IF(G72&gt;"Y","WARNING","")</f>
        <v/>
      </c>
      <c r="I72" s="272"/>
      <c r="J72" s="272"/>
    </row>
    <row r="73" spans="1:10" x14ac:dyDescent="0.25">
      <c r="A73" s="272"/>
      <c r="B73" s="272"/>
      <c r="C73" s="272"/>
      <c r="D73" s="272"/>
      <c r="E73" s="272"/>
      <c r="F73" s="272"/>
      <c r="G73" s="272"/>
      <c r="H73" s="272"/>
      <c r="I73" s="272"/>
      <c r="J73" s="272"/>
    </row>
    <row r="74" spans="1:10" x14ac:dyDescent="0.25">
      <c r="A74" s="402" t="s">
        <v>333</v>
      </c>
      <c r="B74" s="272"/>
      <c r="C74" s="272"/>
      <c r="D74" s="272"/>
      <c r="E74" s="255"/>
      <c r="F74" s="137"/>
      <c r="G74" s="137"/>
      <c r="H74" s="137"/>
      <c r="I74" s="137"/>
      <c r="J74" s="272"/>
    </row>
    <row r="75" spans="1:10" x14ac:dyDescent="0.25">
      <c r="A75" s="272"/>
      <c r="B75" s="272"/>
      <c r="C75" s="272"/>
      <c r="D75" s="272"/>
      <c r="E75" s="137"/>
      <c r="F75" s="137"/>
      <c r="G75" s="137"/>
      <c r="H75" s="137"/>
      <c r="I75" s="137"/>
      <c r="J75" s="272"/>
    </row>
    <row r="76" spans="1:10" x14ac:dyDescent="0.25">
      <c r="A76" s="404" t="s">
        <v>307</v>
      </c>
      <c r="B76" s="272"/>
      <c r="C76" s="184"/>
      <c r="D76" s="404" t="s">
        <v>327</v>
      </c>
      <c r="E76" s="255"/>
      <c r="F76" s="137"/>
      <c r="G76" s="137"/>
      <c r="H76" s="137"/>
      <c r="I76" s="137"/>
      <c r="J76" s="272"/>
    </row>
    <row r="77" spans="1:10" x14ac:dyDescent="0.25">
      <c r="A77" s="404" t="s">
        <v>308</v>
      </c>
      <c r="B77" s="272"/>
      <c r="C77" s="184"/>
      <c r="D77" s="404" t="s">
        <v>328</v>
      </c>
      <c r="E77" s="137"/>
      <c r="F77" s="137"/>
      <c r="G77" s="137"/>
      <c r="H77" s="137"/>
      <c r="I77" s="137"/>
      <c r="J77" s="272"/>
    </row>
    <row r="78" spans="1:10" x14ac:dyDescent="0.25">
      <c r="A78" s="404" t="s">
        <v>309</v>
      </c>
      <c r="B78" s="272"/>
      <c r="C78" s="184"/>
      <c r="D78" s="272" t="s">
        <v>98</v>
      </c>
      <c r="E78" s="255"/>
      <c r="F78" s="137"/>
      <c r="G78" s="137"/>
      <c r="H78" s="137"/>
      <c r="I78" s="137"/>
      <c r="J78" s="272"/>
    </row>
    <row r="79" spans="1:10" x14ac:dyDescent="0.25">
      <c r="A79" s="272"/>
      <c r="B79" s="272"/>
      <c r="C79" s="272"/>
      <c r="D79" s="272"/>
      <c r="E79" s="137"/>
      <c r="F79" s="137"/>
      <c r="G79" s="137"/>
      <c r="H79" s="137"/>
      <c r="I79" s="137"/>
      <c r="J79" s="272"/>
    </row>
    <row r="80" spans="1:10" x14ac:dyDescent="0.25">
      <c r="A80" s="402" t="s">
        <v>334</v>
      </c>
      <c r="B80" s="272"/>
      <c r="C80" s="272"/>
      <c r="D80" s="272"/>
      <c r="E80" s="255"/>
      <c r="F80" s="137"/>
      <c r="G80" s="137"/>
      <c r="H80" s="137"/>
      <c r="I80" s="137"/>
      <c r="J80" s="272"/>
    </row>
    <row r="81" spans="1:10" x14ac:dyDescent="0.25">
      <c r="A81" s="404" t="s">
        <v>310</v>
      </c>
      <c r="B81" s="272"/>
      <c r="C81" s="184"/>
      <c r="D81" s="404" t="s">
        <v>329</v>
      </c>
      <c r="E81" s="137"/>
      <c r="F81" s="137"/>
      <c r="G81" s="137"/>
      <c r="H81" s="137"/>
      <c r="I81" s="137"/>
      <c r="J81" s="272"/>
    </row>
    <row r="82" spans="1:10" x14ac:dyDescent="0.25">
      <c r="A82" s="404" t="s">
        <v>311</v>
      </c>
      <c r="B82" s="272"/>
      <c r="C82" s="184"/>
      <c r="D82" s="404" t="s">
        <v>330</v>
      </c>
      <c r="E82" s="255"/>
      <c r="F82" s="137"/>
      <c r="G82" s="137"/>
      <c r="H82" s="137"/>
      <c r="I82" s="137"/>
      <c r="J82" s="272"/>
    </row>
    <row r="83" spans="1:10" x14ac:dyDescent="0.25">
      <c r="A83" s="404" t="s">
        <v>312</v>
      </c>
      <c r="B83" s="272"/>
      <c r="C83" s="184"/>
      <c r="D83" s="404" t="s">
        <v>331</v>
      </c>
      <c r="E83" s="255"/>
      <c r="F83" s="137"/>
      <c r="G83" s="137"/>
      <c r="H83" s="137"/>
      <c r="I83" s="137"/>
      <c r="J83" s="272"/>
    </row>
    <row r="84" spans="1:10" x14ac:dyDescent="0.25">
      <c r="A84" s="404" t="s">
        <v>313</v>
      </c>
      <c r="B84" s="272"/>
      <c r="C84" s="184"/>
      <c r="D84" s="404" t="s">
        <v>332</v>
      </c>
      <c r="E84" s="137"/>
      <c r="F84" s="137"/>
      <c r="G84" s="137"/>
      <c r="H84" s="137"/>
      <c r="I84" s="137"/>
      <c r="J84" s="272"/>
    </row>
    <row r="85" spans="1:10" x14ac:dyDescent="0.25">
      <c r="A85" s="272"/>
      <c r="B85" s="272"/>
      <c r="C85" s="272"/>
      <c r="D85" s="272"/>
      <c r="E85" s="272"/>
      <c r="F85" s="272"/>
      <c r="G85" s="272"/>
      <c r="H85" s="272"/>
      <c r="I85" s="272"/>
      <c r="J85" s="272"/>
    </row>
    <row r="86" spans="1:10" x14ac:dyDescent="0.25">
      <c r="A86" s="256" t="s">
        <v>335</v>
      </c>
      <c r="B86" s="256"/>
      <c r="C86" s="257">
        <f>1000*((('5. Pupuk pilihan pengguna'!C68/100)*'Data default'!C133:D133)+(('5. Pupuk pilihan pengguna'!C70/100)*'Data default'!C139:D139)+(('5. Pupuk pilihan pengguna'!C72/100)*'Data default'!C144:D144)+(('5. Pupuk pilihan pengguna'!C76/100)*'Data default'!C146:D146)+(('5. Pupuk pilihan pengguna'!C77/100)*'Data default'!C147:D147)+(('5. Pupuk pilihan pengguna'!C78/100)*'Data default'!C148:D148)+(('5. Pupuk pilihan pengguna'!C81/100)*'Data default'!C149:D149)+(('5. Pupuk pilihan pengguna'!C82/100)*'Data default'!C150:D150)+(('5. Pupuk pilihan pengguna'!C83/100)*'Data default'!C151:D151)+(('5. Pupuk pilihan pengguna'!C84/100)*'Data default'!C152:D152))</f>
        <v>0</v>
      </c>
      <c r="D86" s="272"/>
      <c r="E86" s="272"/>
      <c r="F86" s="272"/>
      <c r="G86" s="272"/>
      <c r="H86" s="272"/>
      <c r="I86" s="272"/>
      <c r="J86" s="272"/>
    </row>
    <row r="87" spans="1:10" s="319" customFormat="1" ht="15.75" thickBot="1" x14ac:dyDescent="0.3"/>
    <row r="88" spans="1:10" x14ac:dyDescent="0.25">
      <c r="A88" s="272"/>
      <c r="B88" s="272"/>
      <c r="C88" s="272"/>
      <c r="D88" s="272"/>
      <c r="E88" s="272"/>
      <c r="F88" s="272"/>
      <c r="G88" s="272"/>
      <c r="H88" s="272"/>
      <c r="I88" s="272"/>
      <c r="J88" s="272"/>
    </row>
    <row r="89" spans="1:10" x14ac:dyDescent="0.25">
      <c r="A89" s="404" t="s">
        <v>301</v>
      </c>
      <c r="B89" s="272"/>
      <c r="C89" s="184"/>
      <c r="D89" s="137"/>
      <c r="E89" s="272"/>
      <c r="F89" s="272"/>
      <c r="G89" s="272"/>
      <c r="H89" s="272"/>
      <c r="I89" s="272"/>
      <c r="J89" s="272"/>
    </row>
    <row r="90" spans="1:10" x14ac:dyDescent="0.25">
      <c r="A90" s="272"/>
      <c r="B90" s="272"/>
      <c r="C90" s="272"/>
      <c r="D90" s="272"/>
      <c r="E90" s="272"/>
      <c r="F90" s="272"/>
      <c r="G90" s="272"/>
      <c r="H90" s="272"/>
      <c r="I90" s="272"/>
      <c r="J90" s="137"/>
    </row>
    <row r="91" spans="1:10" ht="32.1" customHeight="1" x14ac:dyDescent="0.25">
      <c r="A91" s="402" t="s">
        <v>302</v>
      </c>
      <c r="B91" s="272"/>
      <c r="C91" s="272"/>
      <c r="D91" s="272"/>
      <c r="E91" s="437" t="s">
        <v>303</v>
      </c>
      <c r="F91" s="437"/>
      <c r="G91" s="437"/>
      <c r="H91" s="437"/>
      <c r="I91" s="437"/>
      <c r="J91" s="437"/>
    </row>
    <row r="92" spans="1:10" x14ac:dyDescent="0.25">
      <c r="A92" s="272"/>
      <c r="B92" s="272"/>
      <c r="C92" s="272"/>
      <c r="D92" s="272"/>
      <c r="E92" s="272"/>
      <c r="F92" s="272"/>
      <c r="G92" s="272"/>
      <c r="H92" s="272"/>
      <c r="I92" s="272"/>
      <c r="J92" s="272"/>
    </row>
    <row r="93" spans="1:10" ht="30" x14ac:dyDescent="0.25">
      <c r="A93" s="272"/>
      <c r="B93" s="272"/>
      <c r="C93" s="272"/>
      <c r="D93" s="272"/>
      <c r="E93" s="252" t="s">
        <v>314</v>
      </c>
      <c r="F93" s="252" t="s">
        <v>315</v>
      </c>
      <c r="G93" s="252" t="s">
        <v>316</v>
      </c>
      <c r="H93" s="252" t="s">
        <v>317</v>
      </c>
      <c r="I93" s="252" t="s">
        <v>318</v>
      </c>
      <c r="J93" s="272"/>
    </row>
    <row r="94" spans="1:10" x14ac:dyDescent="0.25">
      <c r="A94" s="404" t="s">
        <v>304</v>
      </c>
      <c r="B94" s="272"/>
      <c r="C94" s="184"/>
      <c r="D94" s="404" t="s">
        <v>324</v>
      </c>
      <c r="E94" s="184"/>
      <c r="F94" s="184"/>
      <c r="G94" s="184"/>
      <c r="H94" s="184"/>
      <c r="I94" s="184"/>
      <c r="J94" s="253" t="str">
        <f>CONCATENATE(E94,F94,G94,H94,I94)</f>
        <v/>
      </c>
    </row>
    <row r="95" spans="1:10" ht="30" x14ac:dyDescent="0.25">
      <c r="A95" s="272"/>
      <c r="B95" s="272"/>
      <c r="C95" s="137"/>
      <c r="D95" s="272"/>
      <c r="E95" s="252" t="s">
        <v>319</v>
      </c>
      <c r="F95" s="252" t="s">
        <v>320</v>
      </c>
      <c r="G95" s="252" t="s">
        <v>321</v>
      </c>
      <c r="H95" s="13"/>
      <c r="I95" s="272"/>
      <c r="J95" s="272"/>
    </row>
    <row r="96" spans="1:10" x14ac:dyDescent="0.25">
      <c r="A96" s="404" t="s">
        <v>305</v>
      </c>
      <c r="B96" s="272"/>
      <c r="C96" s="184"/>
      <c r="D96" s="404" t="s">
        <v>325</v>
      </c>
      <c r="E96" s="184"/>
      <c r="F96" s="184"/>
      <c r="G96" s="184"/>
      <c r="H96" s="253" t="str">
        <f>CONCATENATE(E96,F96,G96)</f>
        <v/>
      </c>
      <c r="I96" s="254" t="str">
        <f>IF(H96&gt;"Y","WARNING","")</f>
        <v/>
      </c>
      <c r="J96" s="272"/>
    </row>
    <row r="97" spans="1:10" ht="30" x14ac:dyDescent="0.25">
      <c r="A97" s="272"/>
      <c r="B97" s="272"/>
      <c r="C97" s="137"/>
      <c r="D97" s="272"/>
      <c r="E97" s="252" t="s">
        <v>323</v>
      </c>
      <c r="F97" s="252" t="s">
        <v>322</v>
      </c>
      <c r="G97" s="272"/>
      <c r="H97" s="272"/>
      <c r="I97" s="272"/>
      <c r="J97" s="272"/>
    </row>
    <row r="98" spans="1:10" x14ac:dyDescent="0.25">
      <c r="A98" s="404" t="s">
        <v>306</v>
      </c>
      <c r="B98" s="272"/>
      <c r="C98" s="184"/>
      <c r="D98" s="404" t="s">
        <v>326</v>
      </c>
      <c r="E98" s="184"/>
      <c r="F98" s="184"/>
      <c r="G98" s="253" t="str">
        <f>CONCATENATE(E98,F98)</f>
        <v/>
      </c>
      <c r="H98" s="272" t="str">
        <f>IF(G98&gt;"Y","WARNING","")</f>
        <v/>
      </c>
      <c r="I98" s="272"/>
      <c r="J98" s="272"/>
    </row>
    <row r="99" spans="1:10" x14ac:dyDescent="0.25">
      <c r="A99" s="272"/>
      <c r="B99" s="272"/>
      <c r="C99" s="272"/>
      <c r="D99" s="272"/>
      <c r="E99" s="272"/>
      <c r="F99" s="272"/>
      <c r="G99" s="272"/>
      <c r="H99" s="272"/>
      <c r="I99" s="272"/>
      <c r="J99" s="272"/>
    </row>
    <row r="100" spans="1:10" x14ac:dyDescent="0.25">
      <c r="A100" s="402" t="s">
        <v>333</v>
      </c>
      <c r="B100" s="272"/>
      <c r="C100" s="272"/>
      <c r="D100" s="272"/>
      <c r="E100" s="255"/>
      <c r="F100" s="137"/>
      <c r="G100" s="137"/>
      <c r="H100" s="137"/>
      <c r="I100" s="137"/>
      <c r="J100" s="272"/>
    </row>
    <row r="101" spans="1:10" x14ac:dyDescent="0.25">
      <c r="A101" s="272"/>
      <c r="B101" s="272"/>
      <c r="C101" s="272"/>
      <c r="D101" s="272"/>
      <c r="E101" s="137"/>
      <c r="F101" s="137"/>
      <c r="G101" s="137"/>
      <c r="H101" s="137"/>
      <c r="I101" s="137"/>
      <c r="J101" s="272"/>
    </row>
    <row r="102" spans="1:10" x14ac:dyDescent="0.25">
      <c r="A102" s="404" t="s">
        <v>307</v>
      </c>
      <c r="B102" s="272"/>
      <c r="C102" s="184"/>
      <c r="D102" s="404" t="s">
        <v>327</v>
      </c>
      <c r="E102" s="255"/>
      <c r="F102" s="137"/>
      <c r="G102" s="137"/>
      <c r="H102" s="137"/>
      <c r="I102" s="137"/>
      <c r="J102" s="272"/>
    </row>
    <row r="103" spans="1:10" x14ac:dyDescent="0.25">
      <c r="A103" s="404" t="s">
        <v>308</v>
      </c>
      <c r="B103" s="272"/>
      <c r="C103" s="184"/>
      <c r="D103" s="404" t="s">
        <v>328</v>
      </c>
      <c r="E103" s="137"/>
      <c r="F103" s="137"/>
      <c r="G103" s="137"/>
      <c r="H103" s="137"/>
      <c r="I103" s="137"/>
      <c r="J103" s="272"/>
    </row>
    <row r="104" spans="1:10" x14ac:dyDescent="0.25">
      <c r="A104" s="404" t="s">
        <v>309</v>
      </c>
      <c r="B104" s="272"/>
      <c r="C104" s="184"/>
      <c r="D104" s="272" t="s">
        <v>98</v>
      </c>
      <c r="E104" s="255"/>
      <c r="F104" s="137"/>
      <c r="G104" s="137"/>
      <c r="H104" s="137"/>
      <c r="I104" s="137"/>
      <c r="J104" s="272"/>
    </row>
    <row r="105" spans="1:10" x14ac:dyDescent="0.25">
      <c r="A105" s="272"/>
      <c r="B105" s="272"/>
      <c r="C105" s="272"/>
      <c r="D105" s="272"/>
      <c r="E105" s="137"/>
      <c r="F105" s="137"/>
      <c r="G105" s="137"/>
      <c r="H105" s="137"/>
      <c r="I105" s="137"/>
      <c r="J105" s="272"/>
    </row>
    <row r="106" spans="1:10" x14ac:dyDescent="0.25">
      <c r="A106" s="402" t="s">
        <v>334</v>
      </c>
      <c r="B106" s="272"/>
      <c r="C106" s="272"/>
      <c r="D106" s="272"/>
      <c r="E106" s="255"/>
      <c r="F106" s="137"/>
      <c r="G106" s="137"/>
      <c r="H106" s="137"/>
      <c r="I106" s="137"/>
      <c r="J106" s="272"/>
    </row>
    <row r="107" spans="1:10" x14ac:dyDescent="0.25">
      <c r="A107" s="404" t="s">
        <v>310</v>
      </c>
      <c r="B107" s="272"/>
      <c r="C107" s="184"/>
      <c r="D107" s="404" t="s">
        <v>329</v>
      </c>
      <c r="E107" s="137"/>
      <c r="F107" s="137"/>
      <c r="G107" s="137"/>
      <c r="H107" s="137"/>
      <c r="I107" s="137"/>
      <c r="J107" s="272"/>
    </row>
    <row r="108" spans="1:10" x14ac:dyDescent="0.25">
      <c r="A108" s="404" t="s">
        <v>311</v>
      </c>
      <c r="B108" s="272"/>
      <c r="C108" s="184"/>
      <c r="D108" s="404" t="s">
        <v>330</v>
      </c>
      <c r="E108" s="255"/>
      <c r="F108" s="137"/>
      <c r="G108" s="137"/>
      <c r="H108" s="137"/>
      <c r="I108" s="137"/>
      <c r="J108" s="272"/>
    </row>
    <row r="109" spans="1:10" x14ac:dyDescent="0.25">
      <c r="A109" s="404" t="s">
        <v>312</v>
      </c>
      <c r="B109" s="272"/>
      <c r="C109" s="184"/>
      <c r="D109" s="404" t="s">
        <v>331</v>
      </c>
      <c r="E109" s="255"/>
      <c r="F109" s="137"/>
      <c r="G109" s="137"/>
      <c r="H109" s="137"/>
      <c r="I109" s="137"/>
      <c r="J109" s="272"/>
    </row>
    <row r="110" spans="1:10" x14ac:dyDescent="0.25">
      <c r="A110" s="404" t="s">
        <v>313</v>
      </c>
      <c r="B110" s="272"/>
      <c r="C110" s="184"/>
      <c r="D110" s="404" t="s">
        <v>332</v>
      </c>
      <c r="E110" s="137"/>
      <c r="F110" s="137"/>
      <c r="G110" s="137"/>
      <c r="H110" s="137"/>
      <c r="I110" s="137"/>
      <c r="J110" s="272"/>
    </row>
    <row r="111" spans="1:10" x14ac:dyDescent="0.25">
      <c r="A111" s="272"/>
      <c r="B111" s="272"/>
      <c r="C111" s="272"/>
      <c r="D111" s="272"/>
      <c r="E111" s="272"/>
      <c r="F111" s="272"/>
      <c r="G111" s="272"/>
      <c r="H111" s="272"/>
      <c r="I111" s="272"/>
      <c r="J111" s="272"/>
    </row>
    <row r="112" spans="1:10" x14ac:dyDescent="0.25">
      <c r="A112" s="256" t="s">
        <v>335</v>
      </c>
      <c r="B112" s="256"/>
      <c r="C112" s="257">
        <f>1000*((('5. Pupuk pilihan pengguna'!C94/100)*'Data default'!C162:D162)+(('5. Pupuk pilihan pengguna'!C96/100)*'Data default'!C168:D168)+(('5. Pupuk pilihan pengguna'!C98/100)*'Data default'!C173:D173)+(('5. Pupuk pilihan pengguna'!C102/100)*'Data default'!C175:D175)+(('5. Pupuk pilihan pengguna'!C103/100)*'Data default'!C176:D176)+(('5. Pupuk pilihan pengguna'!C104/100)*'Data default'!C177:D177)+(('5. Pupuk pilihan pengguna'!C107/100)*'Data default'!C178:D178)+(('5. Pupuk pilihan pengguna'!C108/100)*'Data default'!C179:D179)+(('5. Pupuk pilihan pengguna'!C109/100)*'Data default'!C180:D180)+(('5. Pupuk pilihan pengguna'!C110/100)*'Data default'!C181:D181))</f>
        <v>0</v>
      </c>
      <c r="D112" s="272"/>
      <c r="E112" s="272"/>
      <c r="F112" s="272"/>
      <c r="G112" s="272"/>
      <c r="H112" s="272"/>
      <c r="I112" s="272"/>
      <c r="J112" s="272"/>
    </row>
    <row r="113" spans="1:10" s="319" customFormat="1" ht="15.75" thickBot="1" x14ac:dyDescent="0.3"/>
    <row r="114" spans="1:10" x14ac:dyDescent="0.25">
      <c r="A114" s="272"/>
      <c r="B114" s="272"/>
      <c r="C114" s="272"/>
      <c r="D114" s="272"/>
      <c r="E114" s="272"/>
      <c r="F114" s="272"/>
      <c r="G114" s="272"/>
      <c r="H114" s="272"/>
      <c r="I114" s="272"/>
      <c r="J114" s="272"/>
    </row>
    <row r="115" spans="1:10" x14ac:dyDescent="0.25">
      <c r="A115" s="404" t="s">
        <v>301</v>
      </c>
      <c r="B115" s="272"/>
      <c r="C115" s="184"/>
      <c r="D115" s="137"/>
      <c r="E115" s="272"/>
      <c r="F115" s="272"/>
      <c r="G115" s="272"/>
      <c r="H115" s="272"/>
      <c r="I115" s="272"/>
      <c r="J115" s="272"/>
    </row>
    <row r="116" spans="1:10" x14ac:dyDescent="0.25">
      <c r="A116" s="272"/>
      <c r="B116" s="272"/>
      <c r="C116" s="272"/>
      <c r="D116" s="272"/>
      <c r="E116" s="272"/>
      <c r="F116" s="272"/>
      <c r="G116" s="272"/>
      <c r="H116" s="272"/>
      <c r="I116" s="272"/>
      <c r="J116" s="137"/>
    </row>
    <row r="117" spans="1:10" ht="32.1" customHeight="1" x14ac:dyDescent="0.25">
      <c r="A117" s="402" t="s">
        <v>302</v>
      </c>
      <c r="B117" s="272"/>
      <c r="C117" s="272"/>
      <c r="D117" s="272"/>
      <c r="E117" s="437" t="s">
        <v>303</v>
      </c>
      <c r="F117" s="437"/>
      <c r="G117" s="437"/>
      <c r="H117" s="437"/>
      <c r="I117" s="437"/>
      <c r="J117" s="437"/>
    </row>
    <row r="118" spans="1:10" x14ac:dyDescent="0.25">
      <c r="A118" s="272"/>
      <c r="B118" s="272"/>
      <c r="C118" s="272"/>
      <c r="D118" s="272"/>
      <c r="E118" s="272"/>
      <c r="F118" s="272"/>
      <c r="G118" s="272"/>
      <c r="H118" s="272"/>
      <c r="I118" s="272"/>
      <c r="J118" s="272"/>
    </row>
    <row r="119" spans="1:10" ht="30" x14ac:dyDescent="0.25">
      <c r="A119" s="272"/>
      <c r="B119" s="272"/>
      <c r="C119" s="272"/>
      <c r="D119" s="272"/>
      <c r="E119" s="252" t="s">
        <v>314</v>
      </c>
      <c r="F119" s="252" t="s">
        <v>315</v>
      </c>
      <c r="G119" s="252" t="s">
        <v>316</v>
      </c>
      <c r="H119" s="252" t="s">
        <v>317</v>
      </c>
      <c r="I119" s="252" t="s">
        <v>318</v>
      </c>
      <c r="J119" s="272"/>
    </row>
    <row r="120" spans="1:10" x14ac:dyDescent="0.25">
      <c r="A120" s="404" t="s">
        <v>304</v>
      </c>
      <c r="B120" s="272"/>
      <c r="C120" s="184"/>
      <c r="D120" s="404" t="s">
        <v>324</v>
      </c>
      <c r="E120" s="184"/>
      <c r="F120" s="184"/>
      <c r="G120" s="184"/>
      <c r="H120" s="184"/>
      <c r="I120" s="184"/>
      <c r="J120" s="253" t="str">
        <f>CONCATENATE(E120,F120,G120,H120,I120)</f>
        <v/>
      </c>
    </row>
    <row r="121" spans="1:10" ht="30" x14ac:dyDescent="0.25">
      <c r="A121" s="272"/>
      <c r="B121" s="272"/>
      <c r="C121" s="137"/>
      <c r="D121" s="272"/>
      <c r="E121" s="252" t="s">
        <v>319</v>
      </c>
      <c r="F121" s="252" t="s">
        <v>320</v>
      </c>
      <c r="G121" s="252" t="s">
        <v>321</v>
      </c>
      <c r="H121" s="13"/>
      <c r="I121" s="272"/>
      <c r="J121" s="272"/>
    </row>
    <row r="122" spans="1:10" x14ac:dyDescent="0.25">
      <c r="A122" s="404" t="s">
        <v>305</v>
      </c>
      <c r="B122" s="272"/>
      <c r="C122" s="184"/>
      <c r="D122" s="404" t="s">
        <v>325</v>
      </c>
      <c r="E122" s="184"/>
      <c r="F122" s="184"/>
      <c r="G122" s="184"/>
      <c r="H122" s="253" t="str">
        <f>CONCATENATE(E122,F122,G122)</f>
        <v/>
      </c>
      <c r="I122" s="254" t="str">
        <f>IF(H122&gt;"Y","WARNING","")</f>
        <v/>
      </c>
      <c r="J122" s="272"/>
    </row>
    <row r="123" spans="1:10" ht="30" x14ac:dyDescent="0.25">
      <c r="A123" s="272"/>
      <c r="B123" s="272"/>
      <c r="C123" s="137"/>
      <c r="D123" s="272"/>
      <c r="E123" s="252" t="s">
        <v>323</v>
      </c>
      <c r="F123" s="252" t="s">
        <v>322</v>
      </c>
      <c r="G123" s="272"/>
      <c r="H123" s="272"/>
      <c r="I123" s="272"/>
      <c r="J123" s="272"/>
    </row>
    <row r="124" spans="1:10" x14ac:dyDescent="0.25">
      <c r="A124" s="404" t="s">
        <v>306</v>
      </c>
      <c r="B124" s="272"/>
      <c r="C124" s="184"/>
      <c r="D124" s="404" t="s">
        <v>326</v>
      </c>
      <c r="E124" s="184"/>
      <c r="F124" s="184"/>
      <c r="G124" s="253" t="str">
        <f>CONCATENATE(E124,F124)</f>
        <v/>
      </c>
      <c r="H124" s="272" t="str">
        <f>IF(G124&gt;"Y","WARNING","")</f>
        <v/>
      </c>
      <c r="I124" s="272"/>
      <c r="J124" s="272"/>
    </row>
    <row r="125" spans="1:10" x14ac:dyDescent="0.25">
      <c r="A125" s="272"/>
      <c r="B125" s="272"/>
      <c r="C125" s="272"/>
      <c r="D125" s="272"/>
      <c r="E125" s="272"/>
      <c r="F125" s="272"/>
      <c r="G125" s="272"/>
      <c r="H125" s="272"/>
      <c r="I125" s="272"/>
      <c r="J125" s="272"/>
    </row>
    <row r="126" spans="1:10" x14ac:dyDescent="0.25">
      <c r="A126" s="402" t="s">
        <v>333</v>
      </c>
      <c r="B126" s="272"/>
      <c r="C126" s="272"/>
      <c r="D126" s="272"/>
      <c r="E126" s="255"/>
      <c r="F126" s="137"/>
      <c r="G126" s="137"/>
      <c r="H126" s="137"/>
      <c r="I126" s="137"/>
      <c r="J126" s="272"/>
    </row>
    <row r="127" spans="1:10" x14ac:dyDescent="0.25">
      <c r="A127" s="272"/>
      <c r="B127" s="272"/>
      <c r="C127" s="272"/>
      <c r="D127" s="272"/>
      <c r="E127" s="137"/>
      <c r="F127" s="137"/>
      <c r="G127" s="137"/>
      <c r="H127" s="137"/>
      <c r="I127" s="137"/>
      <c r="J127" s="272"/>
    </row>
    <row r="128" spans="1:10" x14ac:dyDescent="0.25">
      <c r="A128" s="404" t="s">
        <v>307</v>
      </c>
      <c r="B128" s="272"/>
      <c r="C128" s="184"/>
      <c r="D128" s="404" t="s">
        <v>327</v>
      </c>
      <c r="E128" s="255"/>
      <c r="F128" s="137"/>
      <c r="G128" s="137"/>
      <c r="H128" s="137"/>
      <c r="I128" s="137"/>
      <c r="J128" s="272"/>
    </row>
    <row r="129" spans="1:10" x14ac:dyDescent="0.25">
      <c r="A129" s="404" t="s">
        <v>308</v>
      </c>
      <c r="B129" s="272"/>
      <c r="C129" s="184"/>
      <c r="D129" s="404" t="s">
        <v>328</v>
      </c>
      <c r="E129" s="137"/>
      <c r="F129" s="137"/>
      <c r="G129" s="137"/>
      <c r="H129" s="137"/>
      <c r="I129" s="137"/>
      <c r="J129" s="272"/>
    </row>
    <row r="130" spans="1:10" x14ac:dyDescent="0.25">
      <c r="A130" s="404" t="s">
        <v>309</v>
      </c>
      <c r="B130" s="272"/>
      <c r="C130" s="184"/>
      <c r="D130" s="272" t="s">
        <v>98</v>
      </c>
      <c r="E130" s="255"/>
      <c r="F130" s="137"/>
      <c r="G130" s="137"/>
      <c r="H130" s="137"/>
      <c r="I130" s="137"/>
      <c r="J130" s="272"/>
    </row>
    <row r="131" spans="1:10" x14ac:dyDescent="0.25">
      <c r="A131" s="272"/>
      <c r="B131" s="272"/>
      <c r="C131" s="272"/>
      <c r="D131" s="272"/>
      <c r="E131" s="137"/>
      <c r="F131" s="137"/>
      <c r="G131" s="137"/>
      <c r="H131" s="137"/>
      <c r="I131" s="137"/>
      <c r="J131" s="272"/>
    </row>
    <row r="132" spans="1:10" x14ac:dyDescent="0.25">
      <c r="A132" s="402" t="s">
        <v>334</v>
      </c>
      <c r="B132" s="272"/>
      <c r="C132" s="272"/>
      <c r="D132" s="272"/>
      <c r="E132" s="255"/>
      <c r="F132" s="137"/>
      <c r="G132" s="137"/>
      <c r="H132" s="137"/>
      <c r="I132" s="137"/>
      <c r="J132" s="272"/>
    </row>
    <row r="133" spans="1:10" x14ac:dyDescent="0.25">
      <c r="A133" s="404" t="s">
        <v>310</v>
      </c>
      <c r="B133" s="272"/>
      <c r="C133" s="184"/>
      <c r="D133" s="404" t="s">
        <v>329</v>
      </c>
      <c r="E133" s="137"/>
      <c r="F133" s="137"/>
      <c r="G133" s="137"/>
      <c r="H133" s="137"/>
      <c r="I133" s="137"/>
      <c r="J133" s="272"/>
    </row>
    <row r="134" spans="1:10" x14ac:dyDescent="0.25">
      <c r="A134" s="404" t="s">
        <v>311</v>
      </c>
      <c r="B134" s="272"/>
      <c r="C134" s="184"/>
      <c r="D134" s="404" t="s">
        <v>330</v>
      </c>
      <c r="E134" s="255"/>
      <c r="F134" s="137"/>
      <c r="G134" s="137"/>
      <c r="H134" s="137"/>
      <c r="I134" s="137"/>
      <c r="J134" s="272"/>
    </row>
    <row r="135" spans="1:10" x14ac:dyDescent="0.25">
      <c r="A135" s="404" t="s">
        <v>312</v>
      </c>
      <c r="B135" s="272"/>
      <c r="C135" s="184"/>
      <c r="D135" s="404" t="s">
        <v>331</v>
      </c>
      <c r="E135" s="255"/>
      <c r="F135" s="137"/>
      <c r="G135" s="137"/>
      <c r="H135" s="137"/>
      <c r="I135" s="137"/>
      <c r="J135" s="272"/>
    </row>
    <row r="136" spans="1:10" x14ac:dyDescent="0.25">
      <c r="A136" s="404" t="s">
        <v>313</v>
      </c>
      <c r="B136" s="272"/>
      <c r="C136" s="184"/>
      <c r="D136" s="404" t="s">
        <v>332</v>
      </c>
      <c r="E136" s="137"/>
      <c r="F136" s="137"/>
      <c r="G136" s="137"/>
      <c r="H136" s="137"/>
      <c r="I136" s="137"/>
      <c r="J136" s="272"/>
    </row>
    <row r="137" spans="1:10" x14ac:dyDescent="0.25">
      <c r="A137" s="272"/>
      <c r="B137" s="272"/>
      <c r="C137" s="272"/>
      <c r="D137" s="272"/>
      <c r="E137" s="272"/>
      <c r="F137" s="272"/>
      <c r="G137" s="272"/>
      <c r="H137" s="272"/>
      <c r="I137" s="272"/>
      <c r="J137" s="272"/>
    </row>
    <row r="138" spans="1:10" x14ac:dyDescent="0.25">
      <c r="A138" s="256" t="s">
        <v>335</v>
      </c>
      <c r="B138" s="256"/>
      <c r="C138" s="257">
        <f>1000*((('5. Pupuk pilihan pengguna'!C120/100)*'Data default'!C191:D191)+(('5. Pupuk pilihan pengguna'!C122/100)*'Data default'!C197:D197)+(('5. Pupuk pilihan pengguna'!C124/100)*'Data default'!C202:D202)+(('5. Pupuk pilihan pengguna'!C128/100)*'Data default'!C204:D204)+(('5. Pupuk pilihan pengguna'!C129/100)*'Data default'!C205:D205)+(('5. Pupuk pilihan pengguna'!C130/100)*'Data default'!C206:D206)+(('5. Pupuk pilihan pengguna'!C133/100)*'Data default'!C207:D207)+(('5. Pupuk pilihan pengguna'!C134/100)*'Data default'!C208:D208)+(('5. Pupuk pilihan pengguna'!C135/100)*'Data default'!C209:D209)+(('5. Pupuk pilihan pengguna'!C136/100)*'Data default'!C210:D210))</f>
        <v>0</v>
      </c>
      <c r="D138" s="272"/>
      <c r="E138" s="272"/>
      <c r="F138" s="272"/>
      <c r="G138" s="272"/>
      <c r="H138" s="272"/>
      <c r="I138" s="272"/>
      <c r="J138" s="272"/>
    </row>
    <row r="139" spans="1:10" s="319" customFormat="1" ht="15.75" thickBot="1" x14ac:dyDescent="0.3"/>
    <row r="140" spans="1:10" x14ac:dyDescent="0.25">
      <c r="A140" s="272"/>
      <c r="B140" s="272"/>
      <c r="C140" s="272"/>
      <c r="D140" s="272"/>
      <c r="E140" s="272"/>
      <c r="F140" s="272"/>
      <c r="G140" s="272"/>
      <c r="H140" s="272"/>
      <c r="I140" s="272"/>
      <c r="J140" s="272"/>
    </row>
    <row r="141" spans="1:10" x14ac:dyDescent="0.25">
      <c r="A141" s="404" t="s">
        <v>301</v>
      </c>
      <c r="B141" s="272"/>
      <c r="C141" s="184" t="s">
        <v>340</v>
      </c>
      <c r="D141" s="137"/>
      <c r="E141" s="272"/>
      <c r="F141" s="272"/>
      <c r="G141" s="272"/>
      <c r="H141" s="272"/>
      <c r="I141" s="272"/>
      <c r="J141" s="272"/>
    </row>
    <row r="142" spans="1:10" x14ac:dyDescent="0.25">
      <c r="A142" s="272"/>
      <c r="B142" s="272"/>
      <c r="C142" s="272"/>
      <c r="D142" s="272"/>
      <c r="E142" s="272"/>
      <c r="F142" s="272"/>
      <c r="G142" s="272"/>
      <c r="H142" s="272"/>
      <c r="I142" s="272"/>
      <c r="J142" s="137"/>
    </row>
    <row r="143" spans="1:10" ht="32.1" customHeight="1" x14ac:dyDescent="0.25">
      <c r="A143" s="402" t="s">
        <v>302</v>
      </c>
      <c r="B143" s="272"/>
      <c r="C143" s="272"/>
      <c r="D143" s="272"/>
      <c r="E143" s="437" t="s">
        <v>303</v>
      </c>
      <c r="F143" s="437"/>
      <c r="G143" s="437"/>
      <c r="H143" s="437"/>
      <c r="I143" s="437"/>
      <c r="J143" s="437"/>
    </row>
    <row r="144" spans="1:10" x14ac:dyDescent="0.25">
      <c r="A144" s="272"/>
      <c r="B144" s="272"/>
      <c r="C144" s="272"/>
      <c r="D144" s="272"/>
      <c r="E144" s="272"/>
      <c r="F144" s="272"/>
      <c r="G144" s="272"/>
      <c r="H144" s="272"/>
      <c r="I144" s="272"/>
      <c r="J144" s="272"/>
    </row>
    <row r="145" spans="1:10" ht="30" x14ac:dyDescent="0.25">
      <c r="A145" s="272"/>
      <c r="B145" s="272"/>
      <c r="C145" s="272"/>
      <c r="D145" s="272"/>
      <c r="E145" s="252" t="s">
        <v>314</v>
      </c>
      <c r="F145" s="252" t="s">
        <v>315</v>
      </c>
      <c r="G145" s="252" t="s">
        <v>316</v>
      </c>
      <c r="H145" s="252" t="s">
        <v>317</v>
      </c>
      <c r="I145" s="252" t="s">
        <v>318</v>
      </c>
      <c r="J145" s="272"/>
    </row>
    <row r="146" spans="1:10" x14ac:dyDescent="0.25">
      <c r="A146" s="404" t="s">
        <v>304</v>
      </c>
      <c r="B146" s="272"/>
      <c r="C146" s="184">
        <v>3</v>
      </c>
      <c r="D146" s="404" t="s">
        <v>324</v>
      </c>
      <c r="E146" s="184"/>
      <c r="F146" s="184"/>
      <c r="G146" s="184"/>
      <c r="H146" s="184"/>
      <c r="I146" s="184"/>
      <c r="J146" s="253" t="str">
        <f>CONCATENATE(E146,F146,G146,H146,I146)</f>
        <v/>
      </c>
    </row>
    <row r="147" spans="1:10" ht="30" x14ac:dyDescent="0.25">
      <c r="A147" s="272"/>
      <c r="B147" s="272"/>
      <c r="C147" s="137"/>
      <c r="D147" s="272"/>
      <c r="E147" s="252" t="s">
        <v>319</v>
      </c>
      <c r="F147" s="252" t="s">
        <v>320</v>
      </c>
      <c r="G147" s="252" t="s">
        <v>321</v>
      </c>
      <c r="H147" s="13"/>
      <c r="I147" s="272"/>
      <c r="J147" s="272"/>
    </row>
    <row r="148" spans="1:10" x14ac:dyDescent="0.25">
      <c r="A148" s="404" t="s">
        <v>305</v>
      </c>
      <c r="B148" s="272"/>
      <c r="C148" s="184">
        <v>3</v>
      </c>
      <c r="D148" s="404" t="s">
        <v>325</v>
      </c>
      <c r="E148" s="184"/>
      <c r="F148" s="184"/>
      <c r="G148" s="184"/>
      <c r="H148" s="253" t="str">
        <f>CONCATENATE(E148,F148,G148)</f>
        <v/>
      </c>
      <c r="I148" s="254" t="str">
        <f>IF(H148&gt;"Y","WARNING","")</f>
        <v/>
      </c>
      <c r="J148" s="272"/>
    </row>
    <row r="149" spans="1:10" ht="30" x14ac:dyDescent="0.25">
      <c r="A149" s="272"/>
      <c r="B149" s="272"/>
      <c r="C149" s="137"/>
      <c r="D149" s="272"/>
      <c r="E149" s="252" t="s">
        <v>323</v>
      </c>
      <c r="F149" s="252" t="s">
        <v>322</v>
      </c>
      <c r="G149" s="272"/>
      <c r="H149" s="272"/>
      <c r="I149" s="272"/>
      <c r="J149" s="272"/>
    </row>
    <row r="150" spans="1:10" x14ac:dyDescent="0.25">
      <c r="A150" s="404" t="s">
        <v>306</v>
      </c>
      <c r="B150" s="272"/>
      <c r="C150" s="184">
        <v>3</v>
      </c>
      <c r="D150" s="404" t="s">
        <v>326</v>
      </c>
      <c r="E150" s="184"/>
      <c r="F150" s="184"/>
      <c r="G150" s="253" t="str">
        <f>CONCATENATE(E150,F150)</f>
        <v/>
      </c>
      <c r="H150" s="272" t="str">
        <f>IF(G150&gt;"Y","WARNING","")</f>
        <v/>
      </c>
      <c r="I150" s="272"/>
      <c r="J150" s="272"/>
    </row>
    <row r="151" spans="1:10" x14ac:dyDescent="0.25">
      <c r="A151" s="272"/>
      <c r="B151" s="272"/>
      <c r="C151" s="272"/>
      <c r="D151" s="272"/>
      <c r="E151" s="272"/>
      <c r="F151" s="272"/>
      <c r="G151" s="272"/>
      <c r="H151" s="272"/>
      <c r="I151" s="272"/>
      <c r="J151" s="272"/>
    </row>
    <row r="152" spans="1:10" x14ac:dyDescent="0.25">
      <c r="A152" s="402" t="s">
        <v>333</v>
      </c>
      <c r="B152" s="272"/>
      <c r="C152" s="272"/>
      <c r="D152" s="272"/>
      <c r="E152" s="255"/>
      <c r="F152" s="137"/>
      <c r="G152" s="137"/>
      <c r="H152" s="137"/>
      <c r="I152" s="137"/>
      <c r="J152" s="272"/>
    </row>
    <row r="153" spans="1:10" x14ac:dyDescent="0.25">
      <c r="A153" s="272"/>
      <c r="B153" s="272"/>
      <c r="C153" s="272"/>
      <c r="D153" s="272"/>
      <c r="E153" s="137"/>
      <c r="F153" s="137"/>
      <c r="G153" s="137"/>
      <c r="H153" s="137"/>
      <c r="I153" s="137"/>
      <c r="J153" s="272"/>
    </row>
    <row r="154" spans="1:10" x14ac:dyDescent="0.25">
      <c r="A154" s="404" t="s">
        <v>307</v>
      </c>
      <c r="B154" s="272"/>
      <c r="C154" s="184"/>
      <c r="D154" s="404" t="s">
        <v>327</v>
      </c>
      <c r="E154" s="255"/>
      <c r="F154" s="137"/>
      <c r="G154" s="137"/>
      <c r="H154" s="137"/>
      <c r="I154" s="137"/>
      <c r="J154" s="272"/>
    </row>
    <row r="155" spans="1:10" x14ac:dyDescent="0.25">
      <c r="A155" s="404" t="s">
        <v>308</v>
      </c>
      <c r="B155" s="272"/>
      <c r="C155" s="184"/>
      <c r="D155" s="404" t="s">
        <v>328</v>
      </c>
      <c r="E155" s="137"/>
      <c r="F155" s="137"/>
      <c r="G155" s="137"/>
      <c r="H155" s="137"/>
      <c r="I155" s="137"/>
      <c r="J155" s="272"/>
    </row>
    <row r="156" spans="1:10" x14ac:dyDescent="0.25">
      <c r="A156" s="404" t="s">
        <v>309</v>
      </c>
      <c r="B156" s="272"/>
      <c r="C156" s="184"/>
      <c r="D156" s="272" t="s">
        <v>98</v>
      </c>
      <c r="E156" s="255"/>
      <c r="F156" s="137"/>
      <c r="G156" s="137"/>
      <c r="H156" s="137"/>
      <c r="I156" s="137"/>
      <c r="J156" s="272"/>
    </row>
    <row r="157" spans="1:10" x14ac:dyDescent="0.25">
      <c r="A157" s="272"/>
      <c r="B157" s="272"/>
      <c r="C157" s="272"/>
      <c r="D157" s="272"/>
      <c r="E157" s="137"/>
      <c r="F157" s="137"/>
      <c r="G157" s="137"/>
      <c r="H157" s="137"/>
      <c r="I157" s="137"/>
      <c r="J157" s="272"/>
    </row>
    <row r="158" spans="1:10" x14ac:dyDescent="0.25">
      <c r="A158" s="402" t="s">
        <v>334</v>
      </c>
      <c r="B158" s="272"/>
      <c r="C158" s="272"/>
      <c r="D158" s="272"/>
      <c r="E158" s="255"/>
      <c r="F158" s="137"/>
      <c r="G158" s="137"/>
      <c r="H158" s="137"/>
      <c r="I158" s="137"/>
      <c r="J158" s="272"/>
    </row>
    <row r="159" spans="1:10" x14ac:dyDescent="0.25">
      <c r="A159" s="404" t="s">
        <v>310</v>
      </c>
      <c r="B159" s="272"/>
      <c r="C159" s="184"/>
      <c r="D159" s="404" t="s">
        <v>329</v>
      </c>
      <c r="E159" s="137"/>
      <c r="F159" s="137"/>
      <c r="G159" s="137"/>
      <c r="H159" s="137"/>
      <c r="I159" s="137"/>
      <c r="J159" s="272"/>
    </row>
    <row r="160" spans="1:10" x14ac:dyDescent="0.25">
      <c r="A160" s="404" t="s">
        <v>311</v>
      </c>
      <c r="B160" s="272"/>
      <c r="C160" s="184"/>
      <c r="D160" s="404" t="s">
        <v>330</v>
      </c>
      <c r="E160" s="255"/>
      <c r="F160" s="137"/>
      <c r="G160" s="137"/>
      <c r="H160" s="137"/>
      <c r="I160" s="137"/>
      <c r="J160" s="272"/>
    </row>
    <row r="161" spans="1:10" x14ac:dyDescent="0.25">
      <c r="A161" s="404" t="s">
        <v>312</v>
      </c>
      <c r="B161" s="272"/>
      <c r="C161" s="184"/>
      <c r="D161" s="404" t="s">
        <v>331</v>
      </c>
      <c r="E161" s="255"/>
      <c r="F161" s="137"/>
      <c r="G161" s="137"/>
      <c r="H161" s="137"/>
      <c r="I161" s="137"/>
      <c r="J161" s="272"/>
    </row>
    <row r="162" spans="1:10" x14ac:dyDescent="0.25">
      <c r="A162" s="404" t="s">
        <v>313</v>
      </c>
      <c r="B162" s="272"/>
      <c r="C162" s="184"/>
      <c r="D162" s="404" t="s">
        <v>332</v>
      </c>
      <c r="E162" s="137"/>
      <c r="F162" s="137"/>
      <c r="G162" s="137"/>
      <c r="H162" s="137"/>
      <c r="I162" s="137"/>
      <c r="J162" s="272"/>
    </row>
    <row r="163" spans="1:10" x14ac:dyDescent="0.25">
      <c r="A163" s="272"/>
      <c r="B163" s="272"/>
      <c r="C163" s="272"/>
      <c r="D163" s="272"/>
      <c r="E163" s="272"/>
      <c r="F163" s="272"/>
      <c r="G163" s="272"/>
      <c r="H163" s="272"/>
      <c r="I163" s="272"/>
      <c r="J163" s="272"/>
    </row>
    <row r="164" spans="1:10" x14ac:dyDescent="0.25">
      <c r="A164" s="256" t="s">
        <v>335</v>
      </c>
      <c r="B164" s="256"/>
      <c r="C164" s="257">
        <f>1000*((('5. Pupuk pilihan pengguna'!C146/100)*'Data default'!C220:D220)+(('5. Pupuk pilihan pengguna'!C148/100)*'Data default'!C226:D226)+(('5. Pupuk pilihan pengguna'!C150/100)*'Data default'!C231:D231)+(('5. Pupuk pilihan pengguna'!C154/100)*'Data default'!C233:D233)+(('5. Pupuk pilihan pengguna'!C155/100)*'Data default'!C234:D234)+(('5. Pupuk pilihan pengguna'!C156/100)*'Data default'!C235:D235)+(('5. Pupuk pilihan pengguna'!C159/100)*'Data default'!C236:D236)+(('5. Pupuk pilihan pengguna'!C160/100)*'Data default'!C237:D237)+(('5. Pupuk pilihan pengguna'!C161/100)*'Data default'!C238:D238)+(('5. Pupuk pilihan pengguna'!C162/100)*'Data default'!C239:D239))</f>
        <v>212.5</v>
      </c>
      <c r="D164" s="272"/>
      <c r="E164" s="272"/>
      <c r="F164" s="272"/>
      <c r="G164" s="272"/>
      <c r="H164" s="272"/>
      <c r="I164" s="272"/>
      <c r="J164" s="272"/>
    </row>
    <row r="165" spans="1:10" s="319" customFormat="1" ht="15.75" thickBot="1" x14ac:dyDescent="0.3"/>
    <row r="166" spans="1:10" x14ac:dyDescent="0.25">
      <c r="A166" s="272"/>
      <c r="B166" s="272"/>
      <c r="C166" s="272"/>
      <c r="D166" s="272"/>
      <c r="E166" s="272"/>
      <c r="F166" s="272"/>
      <c r="G166" s="272"/>
      <c r="H166" s="272"/>
      <c r="I166" s="272"/>
      <c r="J166" s="272"/>
    </row>
    <row r="167" spans="1:10" x14ac:dyDescent="0.25">
      <c r="A167" s="404" t="s">
        <v>301</v>
      </c>
      <c r="B167" s="272"/>
      <c r="C167" s="184" t="s">
        <v>341</v>
      </c>
      <c r="D167" s="137"/>
      <c r="E167" s="272"/>
      <c r="F167" s="272"/>
      <c r="G167" s="272"/>
      <c r="H167" s="272"/>
      <c r="I167" s="272"/>
      <c r="J167" s="272"/>
    </row>
    <row r="168" spans="1:10" x14ac:dyDescent="0.25">
      <c r="A168" s="272"/>
      <c r="B168" s="272"/>
      <c r="C168" s="272"/>
      <c r="D168" s="272"/>
      <c r="E168" s="272"/>
      <c r="F168" s="272"/>
      <c r="G168" s="272"/>
      <c r="H168" s="272"/>
      <c r="I168" s="272"/>
      <c r="J168" s="137"/>
    </row>
    <row r="169" spans="1:10" ht="32.1" customHeight="1" x14ac:dyDescent="0.25">
      <c r="A169" s="402" t="s">
        <v>302</v>
      </c>
      <c r="B169" s="272"/>
      <c r="C169" s="272"/>
      <c r="D169" s="272"/>
      <c r="E169" s="437" t="s">
        <v>303</v>
      </c>
      <c r="F169" s="437"/>
      <c r="G169" s="437"/>
      <c r="H169" s="437"/>
      <c r="I169" s="437"/>
      <c r="J169" s="437"/>
    </row>
    <row r="170" spans="1:10" x14ac:dyDescent="0.25">
      <c r="A170" s="272"/>
      <c r="B170" s="272"/>
      <c r="C170" s="272"/>
      <c r="D170" s="272"/>
      <c r="E170" s="272"/>
      <c r="F170" s="272"/>
      <c r="G170" s="272"/>
      <c r="H170" s="272"/>
      <c r="I170" s="272"/>
      <c r="J170" s="272"/>
    </row>
    <row r="171" spans="1:10" ht="30" x14ac:dyDescent="0.25">
      <c r="A171" s="272"/>
      <c r="B171" s="272"/>
      <c r="C171" s="272"/>
      <c r="D171" s="272"/>
      <c r="E171" s="252" t="s">
        <v>314</v>
      </c>
      <c r="F171" s="252" t="s">
        <v>315</v>
      </c>
      <c r="G171" s="252" t="s">
        <v>316</v>
      </c>
      <c r="H171" s="252" t="s">
        <v>317</v>
      </c>
      <c r="I171" s="252" t="s">
        <v>318</v>
      </c>
      <c r="J171" s="272"/>
    </row>
    <row r="172" spans="1:10" x14ac:dyDescent="0.25">
      <c r="A172" s="404" t="s">
        <v>304</v>
      </c>
      <c r="B172" s="272"/>
      <c r="C172" s="184">
        <v>3</v>
      </c>
      <c r="D172" s="404" t="s">
        <v>324</v>
      </c>
      <c r="E172" s="184"/>
      <c r="F172" s="184"/>
      <c r="G172" s="184"/>
      <c r="H172" s="184"/>
      <c r="I172" s="184"/>
      <c r="J172" s="253" t="str">
        <f>CONCATENATE(E172,F172,G172,H172,I172)</f>
        <v/>
      </c>
    </row>
    <row r="173" spans="1:10" ht="30" x14ac:dyDescent="0.25">
      <c r="A173" s="272"/>
      <c r="B173" s="272"/>
      <c r="C173" s="137"/>
      <c r="D173" s="272"/>
      <c r="E173" s="252" t="s">
        <v>319</v>
      </c>
      <c r="F173" s="252" t="s">
        <v>320</v>
      </c>
      <c r="G173" s="252" t="s">
        <v>321</v>
      </c>
      <c r="H173" s="13"/>
      <c r="I173" s="272"/>
      <c r="J173" s="272"/>
    </row>
    <row r="174" spans="1:10" x14ac:dyDescent="0.25">
      <c r="A174" s="404" t="s">
        <v>305</v>
      </c>
      <c r="B174" s="272"/>
      <c r="C174" s="184">
        <v>3</v>
      </c>
      <c r="D174" s="404" t="s">
        <v>325</v>
      </c>
      <c r="E174" s="184"/>
      <c r="F174" s="184"/>
      <c r="G174" s="184"/>
      <c r="H174" s="253" t="str">
        <f>CONCATENATE(E174,F174,G174)</f>
        <v/>
      </c>
      <c r="I174" s="254" t="str">
        <f>IF(H174&gt;"Y","WARNING","")</f>
        <v/>
      </c>
      <c r="J174" s="272"/>
    </row>
    <row r="175" spans="1:10" ht="30" x14ac:dyDescent="0.25">
      <c r="A175" s="272"/>
      <c r="B175" s="272"/>
      <c r="C175" s="137"/>
      <c r="D175" s="272"/>
      <c r="E175" s="252" t="s">
        <v>323</v>
      </c>
      <c r="F175" s="252" t="s">
        <v>322</v>
      </c>
      <c r="G175" s="272"/>
      <c r="H175" s="272"/>
      <c r="I175" s="272"/>
      <c r="J175" s="272"/>
    </row>
    <row r="176" spans="1:10" x14ac:dyDescent="0.25">
      <c r="A176" s="404" t="s">
        <v>306</v>
      </c>
      <c r="B176" s="272"/>
      <c r="C176" s="184">
        <v>3</v>
      </c>
      <c r="D176" s="404" t="s">
        <v>326</v>
      </c>
      <c r="E176" s="184"/>
      <c r="F176" s="184"/>
      <c r="G176" s="253" t="str">
        <f>CONCATENATE(E176,F176)</f>
        <v/>
      </c>
      <c r="H176" s="272" t="str">
        <f>IF(G176&gt;"Y","WARNING","")</f>
        <v/>
      </c>
      <c r="I176" s="272"/>
      <c r="J176" s="272"/>
    </row>
    <row r="177" spans="1:10" x14ac:dyDescent="0.25">
      <c r="A177" s="272"/>
      <c r="B177" s="272"/>
      <c r="C177" s="272"/>
      <c r="D177" s="272"/>
      <c r="E177" s="272"/>
      <c r="F177" s="272"/>
      <c r="G177" s="272"/>
      <c r="H177" s="272"/>
      <c r="I177" s="272"/>
      <c r="J177" s="272"/>
    </row>
    <row r="178" spans="1:10" x14ac:dyDescent="0.25">
      <c r="A178" s="402" t="s">
        <v>333</v>
      </c>
      <c r="B178" s="272"/>
      <c r="C178" s="272"/>
      <c r="D178" s="272"/>
      <c r="E178" s="255"/>
      <c r="F178" s="137"/>
      <c r="G178" s="137"/>
      <c r="H178" s="137"/>
      <c r="I178" s="137"/>
      <c r="J178" s="272"/>
    </row>
    <row r="179" spans="1:10" x14ac:dyDescent="0.25">
      <c r="A179" s="272"/>
      <c r="B179" s="272"/>
      <c r="C179" s="272"/>
      <c r="D179" s="272"/>
      <c r="E179" s="137"/>
      <c r="F179" s="137"/>
      <c r="G179" s="137"/>
      <c r="H179" s="137"/>
      <c r="I179" s="137"/>
      <c r="J179" s="272"/>
    </row>
    <row r="180" spans="1:10" x14ac:dyDescent="0.25">
      <c r="A180" s="404" t="s">
        <v>307</v>
      </c>
      <c r="B180" s="272"/>
      <c r="C180" s="184"/>
      <c r="D180" s="404" t="s">
        <v>327</v>
      </c>
      <c r="E180" s="255"/>
      <c r="F180" s="137"/>
      <c r="G180" s="137"/>
      <c r="H180" s="137"/>
      <c r="I180" s="137"/>
      <c r="J180" s="272"/>
    </row>
    <row r="181" spans="1:10" x14ac:dyDescent="0.25">
      <c r="A181" s="404" t="s">
        <v>308</v>
      </c>
      <c r="B181" s="272"/>
      <c r="C181" s="184"/>
      <c r="D181" s="404" t="s">
        <v>328</v>
      </c>
      <c r="E181" s="137"/>
      <c r="F181" s="137"/>
      <c r="G181" s="137"/>
      <c r="H181" s="137"/>
      <c r="I181" s="137"/>
      <c r="J181" s="272"/>
    </row>
    <row r="182" spans="1:10" x14ac:dyDescent="0.25">
      <c r="A182" s="404" t="s">
        <v>309</v>
      </c>
      <c r="B182" s="272"/>
      <c r="C182" s="184"/>
      <c r="D182" s="272" t="s">
        <v>98</v>
      </c>
      <c r="E182" s="255"/>
      <c r="F182" s="137"/>
      <c r="G182" s="137"/>
      <c r="H182" s="137"/>
      <c r="I182" s="137"/>
      <c r="J182" s="272"/>
    </row>
    <row r="183" spans="1:10" x14ac:dyDescent="0.25">
      <c r="A183" s="272"/>
      <c r="B183" s="272"/>
      <c r="C183" s="272"/>
      <c r="D183" s="272"/>
      <c r="E183" s="137"/>
      <c r="F183" s="137"/>
      <c r="G183" s="137"/>
      <c r="H183" s="137"/>
      <c r="I183" s="137"/>
      <c r="J183" s="272"/>
    </row>
    <row r="184" spans="1:10" x14ac:dyDescent="0.25">
      <c r="A184" s="402" t="s">
        <v>334</v>
      </c>
      <c r="B184" s="272"/>
      <c r="C184" s="272"/>
      <c r="D184" s="272"/>
      <c r="E184" s="255"/>
      <c r="F184" s="137"/>
      <c r="G184" s="137"/>
      <c r="H184" s="137"/>
      <c r="I184" s="137"/>
      <c r="J184" s="272"/>
    </row>
    <row r="185" spans="1:10" x14ac:dyDescent="0.25">
      <c r="A185" s="404" t="s">
        <v>310</v>
      </c>
      <c r="B185" s="272"/>
      <c r="C185" s="184"/>
      <c r="D185" s="404" t="s">
        <v>329</v>
      </c>
      <c r="E185" s="137"/>
      <c r="F185" s="137"/>
      <c r="G185" s="137"/>
      <c r="H185" s="137"/>
      <c r="I185" s="137"/>
      <c r="J185" s="272"/>
    </row>
    <row r="186" spans="1:10" x14ac:dyDescent="0.25">
      <c r="A186" s="404" t="s">
        <v>311</v>
      </c>
      <c r="B186" s="272"/>
      <c r="C186" s="184"/>
      <c r="D186" s="404" t="s">
        <v>330</v>
      </c>
      <c r="E186" s="255"/>
      <c r="F186" s="137"/>
      <c r="G186" s="137"/>
      <c r="H186" s="137"/>
      <c r="I186" s="137"/>
      <c r="J186" s="272"/>
    </row>
    <row r="187" spans="1:10" x14ac:dyDescent="0.25">
      <c r="A187" s="404" t="s">
        <v>312</v>
      </c>
      <c r="B187" s="272"/>
      <c r="C187" s="184"/>
      <c r="D187" s="404" t="s">
        <v>331</v>
      </c>
      <c r="E187" s="255"/>
      <c r="F187" s="137"/>
      <c r="G187" s="137"/>
      <c r="H187" s="137"/>
      <c r="I187" s="137"/>
      <c r="J187" s="272"/>
    </row>
    <row r="188" spans="1:10" x14ac:dyDescent="0.25">
      <c r="A188" s="404" t="s">
        <v>313</v>
      </c>
      <c r="B188" s="272"/>
      <c r="C188" s="184"/>
      <c r="D188" s="404" t="s">
        <v>332</v>
      </c>
      <c r="E188" s="137"/>
      <c r="F188" s="137"/>
      <c r="G188" s="137"/>
      <c r="H188" s="137"/>
      <c r="I188" s="137"/>
      <c r="J188" s="272"/>
    </row>
    <row r="189" spans="1:10" x14ac:dyDescent="0.25">
      <c r="A189" s="272"/>
      <c r="B189" s="272"/>
      <c r="C189" s="272"/>
      <c r="D189" s="272"/>
      <c r="E189" s="272"/>
      <c r="F189" s="272"/>
      <c r="G189" s="272"/>
      <c r="H189" s="272"/>
      <c r="I189" s="272"/>
      <c r="J189" s="272"/>
    </row>
    <row r="190" spans="1:10" x14ac:dyDescent="0.25">
      <c r="A190" s="256" t="s">
        <v>335</v>
      </c>
      <c r="B190" s="256"/>
      <c r="C190" s="257">
        <f>1000*((('5. Pupuk pilihan pengguna'!C172/100)*'Data default'!C249:D249)+(('5. Pupuk pilihan pengguna'!C174/100)*'Data default'!C255:D255)+(('5. Pupuk pilihan pengguna'!C176/100)*'Data default'!C260:D260)+(('5. Pupuk pilihan pengguna'!C180/100)*'Data default'!C262:D262)+(('5. Pupuk pilihan pengguna'!C181/100)*'Data default'!C263:D263)+(('5. Pupuk pilihan pengguna'!C182/100)*'Data default'!C264:D264)+(('5. Pupuk pilihan pengguna'!C185/100)*'Data default'!C265:D265)+(('5. Pupuk pilihan pengguna'!C186/100)*'Data default'!C266:D266)+(('5. Pupuk pilihan pengguna'!C187/100)*'Data default'!C267:D267)+(('5. Pupuk pilihan pengguna'!C188/100)*'Data default'!C268:D268))</f>
        <v>212.5</v>
      </c>
      <c r="D190" s="272"/>
      <c r="E190" s="272"/>
      <c r="F190" s="272"/>
      <c r="G190" s="272"/>
      <c r="H190" s="272"/>
      <c r="I190" s="272"/>
      <c r="J190" s="272"/>
    </row>
    <row r="191" spans="1:10" s="319" customFormat="1" ht="15.75" thickBot="1" x14ac:dyDescent="0.3"/>
    <row r="192" spans="1:10" x14ac:dyDescent="0.25">
      <c r="A192" s="272"/>
      <c r="B192" s="272"/>
      <c r="C192" s="272"/>
      <c r="D192" s="272"/>
      <c r="E192" s="272"/>
      <c r="F192" s="272"/>
      <c r="G192" s="272"/>
      <c r="H192" s="272"/>
      <c r="I192" s="272"/>
      <c r="J192" s="272"/>
    </row>
    <row r="193" spans="1:10" x14ac:dyDescent="0.25">
      <c r="A193" s="404" t="s">
        <v>301</v>
      </c>
      <c r="B193" s="272"/>
      <c r="C193" s="184" t="s">
        <v>337</v>
      </c>
      <c r="D193" s="137"/>
      <c r="E193" s="272"/>
      <c r="F193" s="272"/>
      <c r="G193" s="272"/>
      <c r="H193" s="272"/>
      <c r="I193" s="272"/>
      <c r="J193" s="272"/>
    </row>
    <row r="194" spans="1:10" x14ac:dyDescent="0.25">
      <c r="A194" s="272"/>
      <c r="B194" s="272"/>
      <c r="C194" s="272"/>
      <c r="D194" s="272"/>
      <c r="E194" s="272"/>
      <c r="F194" s="272"/>
      <c r="G194" s="272"/>
      <c r="H194" s="272"/>
      <c r="I194" s="272"/>
      <c r="J194" s="137"/>
    </row>
    <row r="195" spans="1:10" ht="32.1" customHeight="1" x14ac:dyDescent="0.25">
      <c r="A195" s="402" t="s">
        <v>302</v>
      </c>
      <c r="B195" s="272"/>
      <c r="C195" s="272"/>
      <c r="D195" s="272"/>
      <c r="E195" s="437" t="s">
        <v>303</v>
      </c>
      <c r="F195" s="437"/>
      <c r="G195" s="437"/>
      <c r="H195" s="437"/>
      <c r="I195" s="437"/>
      <c r="J195" s="437"/>
    </row>
    <row r="196" spans="1:10" x14ac:dyDescent="0.25">
      <c r="A196" s="272"/>
      <c r="B196" s="272"/>
      <c r="C196" s="272"/>
      <c r="D196" s="272"/>
      <c r="E196" s="272"/>
      <c r="F196" s="272"/>
      <c r="G196" s="272"/>
      <c r="H196" s="272"/>
      <c r="I196" s="272"/>
      <c r="J196" s="272"/>
    </row>
    <row r="197" spans="1:10" ht="30" x14ac:dyDescent="0.25">
      <c r="A197" s="272"/>
      <c r="B197" s="272"/>
      <c r="C197" s="272"/>
      <c r="D197" s="272"/>
      <c r="E197" s="252" t="s">
        <v>314</v>
      </c>
      <c r="F197" s="252" t="s">
        <v>315</v>
      </c>
      <c r="G197" s="252" t="s">
        <v>316</v>
      </c>
      <c r="H197" s="252" t="s">
        <v>317</v>
      </c>
      <c r="I197" s="252" t="s">
        <v>318</v>
      </c>
      <c r="J197" s="272"/>
    </row>
    <row r="198" spans="1:10" x14ac:dyDescent="0.25">
      <c r="A198" s="404" t="s">
        <v>304</v>
      </c>
      <c r="B198" s="272"/>
      <c r="C198" s="184">
        <v>3</v>
      </c>
      <c r="D198" s="404" t="s">
        <v>324</v>
      </c>
      <c r="E198" s="184"/>
      <c r="F198" s="184"/>
      <c r="G198" s="184"/>
      <c r="H198" s="184"/>
      <c r="I198" s="184"/>
      <c r="J198" s="253" t="str">
        <f>CONCATENATE(E198,F198,G198,H198,I198)</f>
        <v/>
      </c>
    </row>
    <row r="199" spans="1:10" ht="30" x14ac:dyDescent="0.25">
      <c r="A199" s="272"/>
      <c r="B199" s="272"/>
      <c r="C199" s="137"/>
      <c r="D199" s="272"/>
      <c r="E199" s="252" t="s">
        <v>319</v>
      </c>
      <c r="F199" s="252" t="s">
        <v>320</v>
      </c>
      <c r="G199" s="252" t="s">
        <v>321</v>
      </c>
      <c r="H199" s="13"/>
      <c r="I199" s="272"/>
      <c r="J199" s="272"/>
    </row>
    <row r="200" spans="1:10" x14ac:dyDescent="0.25">
      <c r="A200" s="404" t="s">
        <v>305</v>
      </c>
      <c r="B200" s="272"/>
      <c r="C200" s="184">
        <v>3</v>
      </c>
      <c r="D200" s="404" t="s">
        <v>325</v>
      </c>
      <c r="E200" s="184"/>
      <c r="F200" s="184"/>
      <c r="G200" s="184"/>
      <c r="H200" s="253" t="str">
        <f>CONCATENATE(E200,F200,G200)</f>
        <v/>
      </c>
      <c r="I200" s="254" t="str">
        <f>IF(H200&gt;"Y","WARNING","")</f>
        <v/>
      </c>
      <c r="J200" s="272"/>
    </row>
    <row r="201" spans="1:10" ht="30" x14ac:dyDescent="0.25">
      <c r="A201" s="272"/>
      <c r="B201" s="272"/>
      <c r="C201" s="137"/>
      <c r="D201" s="272"/>
      <c r="E201" s="252" t="s">
        <v>323</v>
      </c>
      <c r="F201" s="252" t="s">
        <v>322</v>
      </c>
      <c r="G201" s="272"/>
      <c r="H201" s="272"/>
      <c r="I201" s="272"/>
      <c r="J201" s="272"/>
    </row>
    <row r="202" spans="1:10" x14ac:dyDescent="0.25">
      <c r="A202" s="404" t="s">
        <v>306</v>
      </c>
      <c r="B202" s="272"/>
      <c r="C202" s="184">
        <v>3</v>
      </c>
      <c r="D202" s="404" t="s">
        <v>326</v>
      </c>
      <c r="E202" s="184"/>
      <c r="F202" s="184"/>
      <c r="G202" s="253" t="str">
        <f>CONCATENATE(E202,F202)</f>
        <v/>
      </c>
      <c r="H202" s="272" t="str">
        <f>IF(G202&gt;"Y","WARNING","")</f>
        <v/>
      </c>
      <c r="I202" s="272"/>
      <c r="J202" s="272"/>
    </row>
    <row r="203" spans="1:10" x14ac:dyDescent="0.25">
      <c r="A203" s="272"/>
      <c r="B203" s="272"/>
      <c r="C203" s="272"/>
      <c r="D203" s="272"/>
      <c r="E203" s="272"/>
      <c r="F203" s="272"/>
      <c r="G203" s="272"/>
      <c r="H203" s="272"/>
      <c r="I203" s="272"/>
      <c r="J203" s="272"/>
    </row>
    <row r="204" spans="1:10" x14ac:dyDescent="0.25">
      <c r="A204" s="402" t="s">
        <v>333</v>
      </c>
      <c r="B204" s="272"/>
      <c r="C204" s="272"/>
      <c r="D204" s="272"/>
      <c r="E204" s="255"/>
      <c r="F204" s="137"/>
      <c r="G204" s="137"/>
      <c r="H204" s="137"/>
      <c r="I204" s="137"/>
      <c r="J204" s="272"/>
    </row>
    <row r="205" spans="1:10" x14ac:dyDescent="0.25">
      <c r="A205" s="272"/>
      <c r="B205" s="272"/>
      <c r="C205" s="272"/>
      <c r="D205" s="272"/>
      <c r="E205" s="137"/>
      <c r="F205" s="137"/>
      <c r="G205" s="137"/>
      <c r="H205" s="137"/>
      <c r="I205" s="137"/>
      <c r="J205" s="272"/>
    </row>
    <row r="206" spans="1:10" x14ac:dyDescent="0.25">
      <c r="A206" s="404" t="s">
        <v>307</v>
      </c>
      <c r="B206" s="272"/>
      <c r="C206" s="184"/>
      <c r="D206" s="404" t="s">
        <v>327</v>
      </c>
      <c r="E206" s="255"/>
      <c r="F206" s="137"/>
      <c r="G206" s="137"/>
      <c r="H206" s="137"/>
      <c r="I206" s="137"/>
      <c r="J206" s="272"/>
    </row>
    <row r="207" spans="1:10" x14ac:dyDescent="0.25">
      <c r="A207" s="404" t="s">
        <v>308</v>
      </c>
      <c r="B207" s="272"/>
      <c r="C207" s="184"/>
      <c r="D207" s="404" t="s">
        <v>328</v>
      </c>
      <c r="E207" s="137"/>
      <c r="F207" s="137"/>
      <c r="G207" s="137"/>
      <c r="H207" s="137"/>
      <c r="I207" s="137"/>
      <c r="J207" s="272"/>
    </row>
    <row r="208" spans="1:10" x14ac:dyDescent="0.25">
      <c r="A208" s="404" t="s">
        <v>309</v>
      </c>
      <c r="B208" s="272"/>
      <c r="C208" s="184"/>
      <c r="D208" s="272" t="s">
        <v>98</v>
      </c>
      <c r="E208" s="255"/>
      <c r="F208" s="137"/>
      <c r="G208" s="137"/>
      <c r="H208" s="137"/>
      <c r="I208" s="137"/>
      <c r="J208" s="272"/>
    </row>
    <row r="209" spans="1:10" x14ac:dyDescent="0.25">
      <c r="A209" s="272"/>
      <c r="B209" s="272"/>
      <c r="C209" s="272"/>
      <c r="D209" s="272"/>
      <c r="E209" s="137"/>
      <c r="F209" s="137"/>
      <c r="G209" s="137"/>
      <c r="H209" s="137"/>
      <c r="I209" s="137"/>
      <c r="J209" s="272"/>
    </row>
    <row r="210" spans="1:10" x14ac:dyDescent="0.25">
      <c r="A210" s="402" t="s">
        <v>334</v>
      </c>
      <c r="B210" s="272"/>
      <c r="C210" s="272"/>
      <c r="D210" s="272"/>
      <c r="E210" s="255"/>
      <c r="F210" s="137"/>
      <c r="G210" s="137"/>
      <c r="H210" s="137"/>
      <c r="I210" s="137"/>
      <c r="J210" s="272"/>
    </row>
    <row r="211" spans="1:10" x14ac:dyDescent="0.25">
      <c r="A211" s="404" t="s">
        <v>310</v>
      </c>
      <c r="B211" s="272"/>
      <c r="C211" s="184"/>
      <c r="D211" s="404" t="s">
        <v>329</v>
      </c>
      <c r="E211" s="137"/>
      <c r="F211" s="137"/>
      <c r="G211" s="137"/>
      <c r="H211" s="137"/>
      <c r="I211" s="137"/>
      <c r="J211" s="272"/>
    </row>
    <row r="212" spans="1:10" x14ac:dyDescent="0.25">
      <c r="A212" s="404" t="s">
        <v>311</v>
      </c>
      <c r="B212" s="272"/>
      <c r="C212" s="184"/>
      <c r="D212" s="404" t="s">
        <v>330</v>
      </c>
      <c r="E212" s="255"/>
      <c r="F212" s="137"/>
      <c r="G212" s="137"/>
      <c r="H212" s="137"/>
      <c r="I212" s="137"/>
      <c r="J212" s="272"/>
    </row>
    <row r="213" spans="1:10" x14ac:dyDescent="0.25">
      <c r="A213" s="404" t="s">
        <v>312</v>
      </c>
      <c r="B213" s="272"/>
      <c r="C213" s="184"/>
      <c r="D213" s="404" t="s">
        <v>331</v>
      </c>
      <c r="E213" s="255"/>
      <c r="F213" s="137"/>
      <c r="G213" s="137"/>
      <c r="H213" s="137"/>
      <c r="I213" s="137"/>
      <c r="J213" s="272"/>
    </row>
    <row r="214" spans="1:10" x14ac:dyDescent="0.25">
      <c r="A214" s="404" t="s">
        <v>313</v>
      </c>
      <c r="B214" s="272"/>
      <c r="C214" s="184"/>
      <c r="D214" s="404" t="s">
        <v>332</v>
      </c>
      <c r="E214" s="137"/>
      <c r="F214" s="137"/>
      <c r="G214" s="137"/>
      <c r="H214" s="137"/>
      <c r="I214" s="137"/>
      <c r="J214" s="272"/>
    </row>
    <row r="215" spans="1:10" x14ac:dyDescent="0.25">
      <c r="A215" s="272"/>
      <c r="B215" s="272"/>
      <c r="C215" s="272"/>
      <c r="D215" s="272"/>
      <c r="E215" s="272"/>
      <c r="F215" s="272"/>
      <c r="G215" s="272"/>
      <c r="H215" s="272"/>
      <c r="I215" s="272"/>
      <c r="J215" s="272"/>
    </row>
    <row r="216" spans="1:10" x14ac:dyDescent="0.25">
      <c r="A216" s="256" t="s">
        <v>335</v>
      </c>
      <c r="B216" s="256"/>
      <c r="C216" s="257">
        <f>1000*((('5. Pupuk pilihan pengguna'!C198/100)*'Data default'!C278:D278)+(('5. Pupuk pilihan pengguna'!C200/100)*'Data default'!C284:D284)+(('5. Pupuk pilihan pengguna'!C202/100)*'Data default'!C289:D289)+(('5. Pupuk pilihan pengguna'!C206/100)*'Data default'!C291:D291)+(('5. Pupuk pilihan pengguna'!C207/100)*'Data default'!C292:D292)+(('5. Pupuk pilihan pengguna'!C208/100)*'Data default'!C293:D293)+(('5. Pupuk pilihan pengguna'!C211/100)*'Data default'!C294:D294)+(('5. Pupuk pilihan pengguna'!C212/100)*'Data default'!C295:D295)+(('5. Pupuk pilihan pengguna'!C213/100)*'Data default'!C296:D296)+(('5. Pupuk pilihan pengguna'!C214/100)*'Data default'!C297:D297))</f>
        <v>212.5</v>
      </c>
      <c r="D216" s="272"/>
      <c r="E216" s="272"/>
      <c r="F216" s="272"/>
      <c r="G216" s="272"/>
      <c r="H216" s="272"/>
      <c r="I216" s="272"/>
      <c r="J216" s="272"/>
    </row>
    <row r="217" spans="1:10" s="319" customFormat="1" ht="15.75" thickBot="1" x14ac:dyDescent="0.3"/>
    <row r="218" spans="1:10" x14ac:dyDescent="0.25">
      <c r="A218" s="272"/>
      <c r="B218" s="272"/>
      <c r="C218" s="272"/>
      <c r="D218" s="272"/>
      <c r="E218" s="272"/>
      <c r="F218" s="272"/>
      <c r="G218" s="272"/>
      <c r="H218" s="272"/>
      <c r="I218" s="272"/>
      <c r="J218" s="272"/>
    </row>
    <row r="219" spans="1:10" x14ac:dyDescent="0.25">
      <c r="A219" s="404" t="s">
        <v>301</v>
      </c>
      <c r="B219" s="272"/>
      <c r="C219" s="184" t="s">
        <v>338</v>
      </c>
      <c r="D219" s="137"/>
      <c r="E219" s="272"/>
      <c r="F219" s="272"/>
      <c r="G219" s="272"/>
      <c r="H219" s="272"/>
      <c r="I219" s="272"/>
      <c r="J219" s="272"/>
    </row>
    <row r="220" spans="1:10" x14ac:dyDescent="0.25">
      <c r="A220" s="272"/>
      <c r="B220" s="272"/>
      <c r="C220" s="272"/>
      <c r="D220" s="272"/>
      <c r="E220" s="272"/>
      <c r="F220" s="272"/>
      <c r="G220" s="272"/>
      <c r="H220" s="272"/>
      <c r="I220" s="272"/>
      <c r="J220" s="137"/>
    </row>
    <row r="221" spans="1:10" ht="32.1" customHeight="1" x14ac:dyDescent="0.25">
      <c r="A221" s="402" t="s">
        <v>302</v>
      </c>
      <c r="B221" s="272"/>
      <c r="C221" s="272"/>
      <c r="D221" s="272"/>
      <c r="E221" s="437" t="s">
        <v>303</v>
      </c>
      <c r="F221" s="437"/>
      <c r="G221" s="437"/>
      <c r="H221" s="437"/>
      <c r="I221" s="437"/>
      <c r="J221" s="437"/>
    </row>
    <row r="222" spans="1:10" x14ac:dyDescent="0.25">
      <c r="A222" s="272"/>
      <c r="B222" s="272"/>
      <c r="C222" s="272"/>
      <c r="D222" s="272"/>
      <c r="E222" s="272"/>
      <c r="F222" s="272"/>
      <c r="G222" s="272"/>
      <c r="H222" s="272"/>
      <c r="I222" s="272"/>
      <c r="J222" s="272"/>
    </row>
    <row r="223" spans="1:10" ht="30" x14ac:dyDescent="0.25">
      <c r="A223" s="272"/>
      <c r="B223" s="272"/>
      <c r="C223" s="272"/>
      <c r="D223" s="272"/>
      <c r="E223" s="252" t="s">
        <v>314</v>
      </c>
      <c r="F223" s="252" t="s">
        <v>315</v>
      </c>
      <c r="G223" s="252" t="s">
        <v>316</v>
      </c>
      <c r="H223" s="252" t="s">
        <v>317</v>
      </c>
      <c r="I223" s="252" t="s">
        <v>318</v>
      </c>
      <c r="J223" s="272"/>
    </row>
    <row r="224" spans="1:10" x14ac:dyDescent="0.25">
      <c r="A224" s="404" t="s">
        <v>304</v>
      </c>
      <c r="B224" s="272"/>
      <c r="C224" s="184">
        <v>3</v>
      </c>
      <c r="D224" s="404" t="s">
        <v>324</v>
      </c>
      <c r="E224" s="184"/>
      <c r="F224" s="184"/>
      <c r="G224" s="184"/>
      <c r="H224" s="184"/>
      <c r="I224" s="184"/>
      <c r="J224" s="253" t="str">
        <f>CONCATENATE(E224,F224,G224,H224,I224)</f>
        <v/>
      </c>
    </row>
    <row r="225" spans="1:10" ht="30" x14ac:dyDescent="0.25">
      <c r="A225" s="272"/>
      <c r="B225" s="272"/>
      <c r="C225" s="137"/>
      <c r="D225" s="272"/>
      <c r="E225" s="252" t="s">
        <v>319</v>
      </c>
      <c r="F225" s="252" t="s">
        <v>320</v>
      </c>
      <c r="G225" s="252" t="s">
        <v>321</v>
      </c>
      <c r="H225" s="13"/>
      <c r="I225" s="272"/>
      <c r="J225" s="272"/>
    </row>
    <row r="226" spans="1:10" x14ac:dyDescent="0.25">
      <c r="A226" s="404" t="s">
        <v>305</v>
      </c>
      <c r="B226" s="272"/>
      <c r="C226" s="184">
        <v>3</v>
      </c>
      <c r="D226" s="404" t="s">
        <v>325</v>
      </c>
      <c r="E226" s="184"/>
      <c r="F226" s="184"/>
      <c r="G226" s="184"/>
      <c r="H226" s="253" t="str">
        <f>CONCATENATE(E226,F226,G226)</f>
        <v/>
      </c>
      <c r="I226" s="254" t="str">
        <f>IF(H226&gt;"Y","WARNING","")</f>
        <v/>
      </c>
      <c r="J226" s="272"/>
    </row>
    <row r="227" spans="1:10" ht="30" x14ac:dyDescent="0.25">
      <c r="A227" s="272"/>
      <c r="B227" s="272"/>
      <c r="C227" s="137"/>
      <c r="D227" s="272"/>
      <c r="E227" s="252" t="s">
        <v>323</v>
      </c>
      <c r="F227" s="252" t="s">
        <v>322</v>
      </c>
      <c r="G227" s="272"/>
      <c r="H227" s="272"/>
      <c r="I227" s="272"/>
      <c r="J227" s="272"/>
    </row>
    <row r="228" spans="1:10" x14ac:dyDescent="0.25">
      <c r="A228" s="404" t="s">
        <v>306</v>
      </c>
      <c r="B228" s="272"/>
      <c r="C228" s="184">
        <v>3</v>
      </c>
      <c r="D228" s="404" t="s">
        <v>326</v>
      </c>
      <c r="E228" s="184"/>
      <c r="F228" s="184"/>
      <c r="G228" s="253" t="str">
        <f>CONCATENATE(E228,F228)</f>
        <v/>
      </c>
      <c r="H228" s="272" t="str">
        <f>IF(G228&gt;"Y","WARNING","")</f>
        <v/>
      </c>
      <c r="I228" s="272"/>
      <c r="J228" s="272"/>
    </row>
    <row r="229" spans="1:10" x14ac:dyDescent="0.25">
      <c r="A229" s="272"/>
      <c r="B229" s="272"/>
      <c r="C229" s="272"/>
      <c r="D229" s="272"/>
      <c r="E229" s="272"/>
      <c r="F229" s="272"/>
      <c r="G229" s="272"/>
      <c r="H229" s="272"/>
      <c r="I229" s="272"/>
      <c r="J229" s="272"/>
    </row>
    <row r="230" spans="1:10" x14ac:dyDescent="0.25">
      <c r="A230" s="402" t="s">
        <v>333</v>
      </c>
      <c r="B230" s="272"/>
      <c r="C230" s="272"/>
      <c r="D230" s="272"/>
      <c r="E230" s="255"/>
      <c r="F230" s="137"/>
      <c r="G230" s="137"/>
      <c r="H230" s="137"/>
      <c r="I230" s="137"/>
      <c r="J230" s="272"/>
    </row>
    <row r="231" spans="1:10" x14ac:dyDescent="0.25">
      <c r="A231" s="272"/>
      <c r="B231" s="272"/>
      <c r="C231" s="272"/>
      <c r="D231" s="272"/>
      <c r="E231" s="137"/>
      <c r="F231" s="137"/>
      <c r="G231" s="137"/>
      <c r="H231" s="137"/>
      <c r="I231" s="137"/>
      <c r="J231" s="272"/>
    </row>
    <row r="232" spans="1:10" x14ac:dyDescent="0.25">
      <c r="A232" s="404" t="s">
        <v>307</v>
      </c>
      <c r="B232" s="272"/>
      <c r="C232" s="184"/>
      <c r="D232" s="404" t="s">
        <v>327</v>
      </c>
      <c r="E232" s="255"/>
      <c r="F232" s="137"/>
      <c r="G232" s="137"/>
      <c r="H232" s="137"/>
      <c r="I232" s="137"/>
      <c r="J232" s="272"/>
    </row>
    <row r="233" spans="1:10" x14ac:dyDescent="0.25">
      <c r="A233" s="404" t="s">
        <v>308</v>
      </c>
      <c r="B233" s="272"/>
      <c r="C233" s="184"/>
      <c r="D233" s="404" t="s">
        <v>328</v>
      </c>
      <c r="E233" s="137"/>
      <c r="F233" s="137"/>
      <c r="G233" s="137"/>
      <c r="H233" s="137"/>
      <c r="I233" s="137"/>
      <c r="J233" s="272"/>
    </row>
    <row r="234" spans="1:10" x14ac:dyDescent="0.25">
      <c r="A234" s="404" t="s">
        <v>309</v>
      </c>
      <c r="B234" s="272"/>
      <c r="C234" s="184"/>
      <c r="D234" s="272" t="s">
        <v>98</v>
      </c>
      <c r="E234" s="255"/>
      <c r="F234" s="137"/>
      <c r="G234" s="137"/>
      <c r="H234" s="137"/>
      <c r="I234" s="137"/>
      <c r="J234" s="272"/>
    </row>
    <row r="235" spans="1:10" x14ac:dyDescent="0.25">
      <c r="A235" s="272"/>
      <c r="B235" s="272"/>
      <c r="C235" s="272"/>
      <c r="D235" s="272"/>
      <c r="E235" s="137"/>
      <c r="F235" s="137"/>
      <c r="G235" s="137"/>
      <c r="H235" s="137"/>
      <c r="I235" s="137"/>
      <c r="J235" s="272"/>
    </row>
    <row r="236" spans="1:10" x14ac:dyDescent="0.25">
      <c r="A236" s="402" t="s">
        <v>334</v>
      </c>
      <c r="B236" s="272"/>
      <c r="C236" s="272"/>
      <c r="D236" s="272"/>
      <c r="E236" s="255"/>
      <c r="F236" s="137"/>
      <c r="G236" s="137"/>
      <c r="H236" s="137"/>
      <c r="I236" s="137"/>
      <c r="J236" s="272"/>
    </row>
    <row r="237" spans="1:10" x14ac:dyDescent="0.25">
      <c r="A237" s="404" t="s">
        <v>310</v>
      </c>
      <c r="B237" s="272"/>
      <c r="C237" s="184"/>
      <c r="D237" s="404" t="s">
        <v>329</v>
      </c>
      <c r="E237" s="137"/>
      <c r="F237" s="137"/>
      <c r="G237" s="137"/>
      <c r="H237" s="137"/>
      <c r="I237" s="137"/>
      <c r="J237" s="272"/>
    </row>
    <row r="238" spans="1:10" x14ac:dyDescent="0.25">
      <c r="A238" s="404" t="s">
        <v>311</v>
      </c>
      <c r="B238" s="272"/>
      <c r="C238" s="184"/>
      <c r="D238" s="404" t="s">
        <v>330</v>
      </c>
      <c r="E238" s="255"/>
      <c r="F238" s="137"/>
      <c r="G238" s="137"/>
      <c r="H238" s="137"/>
      <c r="I238" s="137"/>
      <c r="J238" s="272"/>
    </row>
    <row r="239" spans="1:10" x14ac:dyDescent="0.25">
      <c r="A239" s="404" t="s">
        <v>312</v>
      </c>
      <c r="B239" s="272"/>
      <c r="C239" s="184"/>
      <c r="D239" s="404" t="s">
        <v>331</v>
      </c>
      <c r="E239" s="255"/>
      <c r="F239" s="137"/>
      <c r="G239" s="137"/>
      <c r="H239" s="137"/>
      <c r="I239" s="137"/>
      <c r="J239" s="272"/>
    </row>
    <row r="240" spans="1:10" x14ac:dyDescent="0.25">
      <c r="A240" s="404" t="s">
        <v>313</v>
      </c>
      <c r="B240" s="272"/>
      <c r="C240" s="184"/>
      <c r="D240" s="404" t="s">
        <v>332</v>
      </c>
      <c r="E240" s="137"/>
      <c r="F240" s="137"/>
      <c r="G240" s="137"/>
      <c r="H240" s="137"/>
      <c r="I240" s="137"/>
      <c r="J240" s="272"/>
    </row>
    <row r="241" spans="1:10" x14ac:dyDescent="0.25">
      <c r="A241" s="272"/>
      <c r="B241" s="272"/>
      <c r="C241" s="272"/>
      <c r="D241" s="272"/>
      <c r="E241" s="272"/>
      <c r="F241" s="272"/>
      <c r="G241" s="272"/>
      <c r="H241" s="272"/>
      <c r="I241" s="272"/>
      <c r="J241" s="272"/>
    </row>
    <row r="242" spans="1:10" x14ac:dyDescent="0.25">
      <c r="A242" s="256" t="s">
        <v>335</v>
      </c>
      <c r="B242" s="256"/>
      <c r="C242" s="257">
        <f>1000*((('5. Pupuk pilihan pengguna'!C224/100)*'Data default'!C307:D307)+(('5. Pupuk pilihan pengguna'!C226/100)*'Data default'!C313:D313)+(('5. Pupuk pilihan pengguna'!C228/100)*'Data default'!C318:D318)+(('5. Pupuk pilihan pengguna'!C232/100)*'Data default'!C320:D320)+(('5. Pupuk pilihan pengguna'!C233/100)*'Data default'!C321:D321)+(('5. Pupuk pilihan pengguna'!C234/100)*'Data default'!C322:D322)+(('5. Pupuk pilihan pengguna'!C237/100)*'Data default'!C323:D323)+(('5. Pupuk pilihan pengguna'!C238/100)*'Data default'!C324:D324)+(('5. Pupuk pilihan pengguna'!C239/100)*'Data default'!C325:D325)+(('5. Pupuk pilihan pengguna'!C240/100)*'Data default'!C326:D326))</f>
        <v>212.5</v>
      </c>
      <c r="D242" s="272"/>
      <c r="E242" s="272"/>
      <c r="F242" s="272"/>
      <c r="G242" s="272"/>
      <c r="H242" s="272"/>
      <c r="I242" s="272"/>
      <c r="J242" s="272"/>
    </row>
    <row r="243" spans="1:10" s="319" customFormat="1" ht="15.75" thickBot="1" x14ac:dyDescent="0.3"/>
    <row r="244" spans="1:10" x14ac:dyDescent="0.25">
      <c r="A244" s="272"/>
      <c r="B244" s="272"/>
      <c r="C244" s="272"/>
      <c r="D244" s="272"/>
      <c r="E244" s="272"/>
      <c r="F244" s="272"/>
      <c r="G244" s="272"/>
      <c r="H244" s="272"/>
      <c r="I244" s="272"/>
      <c r="J244" s="272"/>
    </row>
    <row r="245" spans="1:10" x14ac:dyDescent="0.25">
      <c r="A245" s="404" t="s">
        <v>301</v>
      </c>
      <c r="B245" s="272"/>
      <c r="C245" s="184" t="s">
        <v>339</v>
      </c>
      <c r="D245" s="137"/>
      <c r="E245" s="272"/>
      <c r="F245" s="272"/>
      <c r="G245" s="272"/>
      <c r="H245" s="272"/>
      <c r="I245" s="272"/>
      <c r="J245" s="272"/>
    </row>
    <row r="246" spans="1:10" x14ac:dyDescent="0.25">
      <c r="A246" s="272"/>
      <c r="B246" s="272"/>
      <c r="C246" s="272"/>
      <c r="D246" s="272"/>
      <c r="E246" s="272"/>
      <c r="F246" s="272"/>
      <c r="G246" s="272"/>
      <c r="H246" s="272"/>
      <c r="I246" s="272"/>
      <c r="J246" s="137"/>
    </row>
    <row r="247" spans="1:10" ht="32.1" customHeight="1" x14ac:dyDescent="0.25">
      <c r="A247" s="402" t="s">
        <v>302</v>
      </c>
      <c r="B247" s="272"/>
      <c r="C247" s="272"/>
      <c r="D247" s="272"/>
      <c r="E247" s="437" t="s">
        <v>303</v>
      </c>
      <c r="F247" s="437"/>
      <c r="G247" s="437"/>
      <c r="H247" s="437"/>
      <c r="I247" s="437"/>
      <c r="J247" s="437"/>
    </row>
    <row r="248" spans="1:10" x14ac:dyDescent="0.25">
      <c r="A248" s="272"/>
      <c r="B248" s="272"/>
      <c r="C248" s="272"/>
      <c r="D248" s="272"/>
      <c r="E248" s="272"/>
      <c r="F248" s="272"/>
      <c r="G248" s="272"/>
      <c r="H248" s="272"/>
      <c r="I248" s="272"/>
      <c r="J248" s="272"/>
    </row>
    <row r="249" spans="1:10" ht="30" x14ac:dyDescent="0.25">
      <c r="A249" s="272"/>
      <c r="B249" s="272"/>
      <c r="C249" s="272"/>
      <c r="D249" s="272"/>
      <c r="E249" s="252" t="s">
        <v>314</v>
      </c>
      <c r="F249" s="252" t="s">
        <v>315</v>
      </c>
      <c r="G249" s="252" t="s">
        <v>316</v>
      </c>
      <c r="H249" s="252" t="s">
        <v>317</v>
      </c>
      <c r="I249" s="252" t="s">
        <v>318</v>
      </c>
      <c r="J249" s="272"/>
    </row>
    <row r="250" spans="1:10" x14ac:dyDescent="0.25">
      <c r="A250" s="404" t="s">
        <v>304</v>
      </c>
      <c r="B250" s="272"/>
      <c r="C250" s="184">
        <v>3</v>
      </c>
      <c r="D250" s="404" t="s">
        <v>324</v>
      </c>
      <c r="E250" s="184"/>
      <c r="F250" s="184"/>
      <c r="G250" s="184"/>
      <c r="H250" s="184"/>
      <c r="I250" s="184"/>
      <c r="J250" s="253" t="str">
        <f>CONCATENATE(E250,F250,G250,H250,I250)</f>
        <v/>
      </c>
    </row>
    <row r="251" spans="1:10" ht="30" x14ac:dyDescent="0.25">
      <c r="A251" s="272"/>
      <c r="B251" s="272"/>
      <c r="C251" s="137"/>
      <c r="D251" s="272"/>
      <c r="E251" s="252" t="s">
        <v>319</v>
      </c>
      <c r="F251" s="252" t="s">
        <v>320</v>
      </c>
      <c r="G251" s="252" t="s">
        <v>321</v>
      </c>
      <c r="H251" s="13"/>
      <c r="I251" s="272"/>
      <c r="J251" s="272"/>
    </row>
    <row r="252" spans="1:10" x14ac:dyDescent="0.25">
      <c r="A252" s="404" t="s">
        <v>305</v>
      </c>
      <c r="B252" s="272"/>
      <c r="C252" s="184">
        <v>3</v>
      </c>
      <c r="D252" s="404" t="s">
        <v>325</v>
      </c>
      <c r="E252" s="184"/>
      <c r="F252" s="184"/>
      <c r="G252" s="184"/>
      <c r="H252" s="253" t="str">
        <f>CONCATENATE(E252,F252,G252)</f>
        <v/>
      </c>
      <c r="I252" s="254" t="str">
        <f>IF(H252&gt;"Y","WARNING","")</f>
        <v/>
      </c>
      <c r="J252" s="272"/>
    </row>
    <row r="253" spans="1:10" ht="30" x14ac:dyDescent="0.25">
      <c r="A253" s="272"/>
      <c r="B253" s="272"/>
      <c r="C253" s="137"/>
      <c r="D253" s="272"/>
      <c r="E253" s="252" t="s">
        <v>323</v>
      </c>
      <c r="F253" s="252" t="s">
        <v>322</v>
      </c>
      <c r="G253" s="272"/>
      <c r="H253" s="272"/>
      <c r="I253" s="272"/>
      <c r="J253" s="272"/>
    </row>
    <row r="254" spans="1:10" x14ac:dyDescent="0.25">
      <c r="A254" s="404" t="s">
        <v>306</v>
      </c>
      <c r="B254" s="272"/>
      <c r="C254" s="184">
        <v>3</v>
      </c>
      <c r="D254" s="404" t="s">
        <v>326</v>
      </c>
      <c r="E254" s="184"/>
      <c r="F254" s="184"/>
      <c r="G254" s="253" t="str">
        <f>CONCATENATE(E254,F254)</f>
        <v/>
      </c>
      <c r="H254" s="272" t="str">
        <f>IF(G254&gt;"Y","WARNING","")</f>
        <v/>
      </c>
      <c r="I254" s="272"/>
      <c r="J254" s="272"/>
    </row>
    <row r="255" spans="1:10" x14ac:dyDescent="0.25">
      <c r="A255" s="272"/>
      <c r="B255" s="272"/>
      <c r="C255" s="272"/>
      <c r="D255" s="272"/>
      <c r="E255" s="272"/>
      <c r="F255" s="272"/>
      <c r="G255" s="272"/>
      <c r="H255" s="272"/>
      <c r="I255" s="272"/>
      <c r="J255" s="272"/>
    </row>
    <row r="256" spans="1:10" x14ac:dyDescent="0.25">
      <c r="A256" s="402" t="s">
        <v>333</v>
      </c>
      <c r="B256" s="272"/>
      <c r="C256" s="272"/>
      <c r="D256" s="272"/>
      <c r="E256" s="255"/>
      <c r="F256" s="137"/>
      <c r="G256" s="137"/>
      <c r="H256" s="137"/>
      <c r="I256" s="137"/>
      <c r="J256" s="272"/>
    </row>
    <row r="257" spans="1:10" x14ac:dyDescent="0.25">
      <c r="A257" s="272"/>
      <c r="B257" s="272"/>
      <c r="C257" s="272"/>
      <c r="D257" s="272"/>
      <c r="E257" s="137"/>
      <c r="F257" s="137"/>
      <c r="G257" s="137"/>
      <c r="H257" s="137"/>
      <c r="I257" s="137"/>
      <c r="J257" s="272"/>
    </row>
    <row r="258" spans="1:10" x14ac:dyDescent="0.25">
      <c r="A258" s="404" t="s">
        <v>307</v>
      </c>
      <c r="B258" s="272"/>
      <c r="C258" s="184"/>
      <c r="D258" s="404" t="s">
        <v>327</v>
      </c>
      <c r="E258" s="255"/>
      <c r="F258" s="137"/>
      <c r="G258" s="137"/>
      <c r="H258" s="137"/>
      <c r="I258" s="137"/>
      <c r="J258" s="272"/>
    </row>
    <row r="259" spans="1:10" x14ac:dyDescent="0.25">
      <c r="A259" s="404" t="s">
        <v>308</v>
      </c>
      <c r="B259" s="272"/>
      <c r="C259" s="184"/>
      <c r="D259" s="404" t="s">
        <v>328</v>
      </c>
      <c r="E259" s="137"/>
      <c r="F259" s="137"/>
      <c r="G259" s="137"/>
      <c r="H259" s="137"/>
      <c r="I259" s="137"/>
      <c r="J259" s="272"/>
    </row>
    <row r="260" spans="1:10" x14ac:dyDescent="0.25">
      <c r="A260" s="404" t="s">
        <v>309</v>
      </c>
      <c r="B260" s="272"/>
      <c r="C260" s="184"/>
      <c r="D260" s="272" t="s">
        <v>98</v>
      </c>
      <c r="E260" s="255"/>
      <c r="F260" s="137"/>
      <c r="G260" s="137"/>
      <c r="H260" s="137"/>
      <c r="I260" s="137"/>
      <c r="J260" s="272"/>
    </row>
    <row r="261" spans="1:10" x14ac:dyDescent="0.25">
      <c r="A261" s="272"/>
      <c r="B261" s="272"/>
      <c r="C261" s="272"/>
      <c r="D261" s="272"/>
      <c r="E261" s="137"/>
      <c r="F261" s="137"/>
      <c r="G261" s="137"/>
      <c r="H261" s="137"/>
      <c r="I261" s="137"/>
      <c r="J261" s="272"/>
    </row>
    <row r="262" spans="1:10" x14ac:dyDescent="0.25">
      <c r="A262" s="402" t="s">
        <v>334</v>
      </c>
      <c r="B262" s="272"/>
      <c r="C262" s="272"/>
      <c r="D262" s="272"/>
      <c r="E262" s="255"/>
      <c r="F262" s="137"/>
      <c r="G262" s="137"/>
      <c r="H262" s="137"/>
      <c r="I262" s="137"/>
      <c r="J262" s="272"/>
    </row>
    <row r="263" spans="1:10" x14ac:dyDescent="0.25">
      <c r="A263" s="404" t="s">
        <v>310</v>
      </c>
      <c r="B263" s="272"/>
      <c r="C263" s="184"/>
      <c r="D263" s="404" t="s">
        <v>329</v>
      </c>
      <c r="E263" s="137"/>
      <c r="F263" s="137"/>
      <c r="G263" s="137"/>
      <c r="H263" s="137"/>
      <c r="I263" s="137"/>
      <c r="J263" s="272"/>
    </row>
    <row r="264" spans="1:10" x14ac:dyDescent="0.25">
      <c r="A264" s="404" t="s">
        <v>311</v>
      </c>
      <c r="B264" s="272"/>
      <c r="C264" s="184"/>
      <c r="D264" s="404" t="s">
        <v>330</v>
      </c>
      <c r="E264" s="255"/>
      <c r="F264" s="137"/>
      <c r="G264" s="137"/>
      <c r="H264" s="137"/>
      <c r="I264" s="137"/>
      <c r="J264" s="272"/>
    </row>
    <row r="265" spans="1:10" x14ac:dyDescent="0.25">
      <c r="A265" s="404" t="s">
        <v>312</v>
      </c>
      <c r="B265" s="272"/>
      <c r="C265" s="184"/>
      <c r="D265" s="404" t="s">
        <v>331</v>
      </c>
      <c r="E265" s="255"/>
      <c r="F265" s="137"/>
      <c r="G265" s="137"/>
      <c r="H265" s="137"/>
      <c r="I265" s="137"/>
      <c r="J265" s="272"/>
    </row>
    <row r="266" spans="1:10" x14ac:dyDescent="0.25">
      <c r="A266" s="404" t="s">
        <v>313</v>
      </c>
      <c r="B266" s="272"/>
      <c r="C266" s="184"/>
      <c r="D266" s="404" t="s">
        <v>332</v>
      </c>
      <c r="E266" s="137"/>
      <c r="F266" s="137"/>
      <c r="G266" s="137"/>
      <c r="H266" s="137"/>
      <c r="I266" s="137"/>
      <c r="J266" s="272"/>
    </row>
    <row r="267" spans="1:10" x14ac:dyDescent="0.25">
      <c r="A267" s="272"/>
      <c r="B267" s="272"/>
      <c r="C267" s="272"/>
      <c r="D267" s="272"/>
      <c r="E267" s="272"/>
      <c r="F267" s="272"/>
      <c r="G267" s="272"/>
      <c r="H267" s="272"/>
      <c r="I267" s="272"/>
      <c r="J267" s="272"/>
    </row>
    <row r="268" spans="1:10" x14ac:dyDescent="0.25">
      <c r="A268" s="256" t="s">
        <v>335</v>
      </c>
      <c r="B268" s="256"/>
      <c r="C268" s="257">
        <f>1000*((('5. Pupuk pilihan pengguna'!C250/100)*'Data default'!C336:D336)+(('5. Pupuk pilihan pengguna'!C252/100)*'Data default'!C342:D342)+(('5. Pupuk pilihan pengguna'!C254/100)*'Data default'!C347:D347)+(('5. Pupuk pilihan pengguna'!C258/100)*'Data default'!C349:D349)+(('5. Pupuk pilihan pengguna'!C259/100)*'Data default'!C350:D350)+(('5. Pupuk pilihan pengguna'!C260/100)*'Data default'!C351:D351)+(('5. Pupuk pilihan pengguna'!C263/100)*'Data default'!C352:D352)+(('5. Pupuk pilihan pengguna'!C264/100)*'Data default'!C353:D353)+(('5. Pupuk pilihan pengguna'!C265/100)*'Data default'!C354:D354)+(('5. Pupuk pilihan pengguna'!C266/100)*'Data default'!C355:D355))</f>
        <v>212.5</v>
      </c>
      <c r="D268" s="272"/>
      <c r="E268" s="272"/>
      <c r="F268" s="272"/>
      <c r="G268" s="272"/>
      <c r="H268" s="272"/>
      <c r="I268" s="272"/>
      <c r="J268" s="272"/>
    </row>
    <row r="269" spans="1:10" x14ac:dyDescent="0.25">
      <c r="A269" s="273"/>
      <c r="B269" s="273"/>
      <c r="C269" s="273"/>
      <c r="D269" s="273"/>
      <c r="E269" s="273"/>
      <c r="F269" s="273"/>
      <c r="G269" s="273"/>
      <c r="H269" s="273"/>
      <c r="I269" s="273"/>
      <c r="J269" s="273"/>
    </row>
    <row r="270" spans="1:10" x14ac:dyDescent="0.25">
      <c r="A270" s="272"/>
      <c r="B270" s="272"/>
      <c r="C270" s="272"/>
      <c r="D270" s="272"/>
      <c r="E270" s="272"/>
      <c r="F270" s="272"/>
      <c r="G270" s="272"/>
      <c r="H270" s="272"/>
      <c r="I270" s="272"/>
      <c r="J270" s="272"/>
    </row>
    <row r="271" spans="1:10" x14ac:dyDescent="0.25">
      <c r="A271" s="476" t="s">
        <v>480</v>
      </c>
      <c r="B271" s="273"/>
      <c r="C271" s="273"/>
      <c r="D271" s="273"/>
      <c r="E271" s="273"/>
      <c r="F271" s="273"/>
      <c r="G271" s="273"/>
      <c r="H271" s="273"/>
      <c r="I271" s="273"/>
      <c r="J271" s="273"/>
    </row>
    <row r="272" spans="1:10" x14ac:dyDescent="0.25">
      <c r="A272" s="273"/>
      <c r="B272" s="273"/>
      <c r="C272" s="273"/>
      <c r="D272" s="273"/>
      <c r="E272" s="273"/>
      <c r="F272" s="273"/>
      <c r="G272" s="273"/>
      <c r="H272" s="273"/>
      <c r="I272" s="273"/>
      <c r="J272" s="273"/>
    </row>
  </sheetData>
  <mergeCells count="11">
    <mergeCell ref="A2:H2"/>
    <mergeCell ref="E169:J169"/>
    <mergeCell ref="E195:J195"/>
    <mergeCell ref="E221:J221"/>
    <mergeCell ref="E247:J247"/>
    <mergeCell ref="E8:J8"/>
    <mergeCell ref="E39:J39"/>
    <mergeCell ref="E65:J65"/>
    <mergeCell ref="E91:J91"/>
    <mergeCell ref="E117:J117"/>
    <mergeCell ref="E143:J143"/>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Pendahuluan</vt:lpstr>
      <vt:lpstr>Singkatan</vt:lpstr>
      <vt:lpstr>Petunjuk</vt:lpstr>
      <vt:lpstr>Ringkasan Hasil</vt:lpstr>
      <vt:lpstr>1. Emisi-emisi LUC</vt:lpstr>
      <vt:lpstr>2. Produksi FFB</vt:lpstr>
      <vt:lpstr>3. Bahan bakar kebun</vt:lpstr>
      <vt:lpstr>4. Lahan gambut</vt:lpstr>
      <vt:lpstr>5. Pupuk pilihan pengguna</vt:lpstr>
      <vt:lpstr>6. Pupuk dan N2O</vt:lpstr>
      <vt:lpstr>7. Penyerapan karbon Area Konse</vt:lpstr>
      <vt:lpstr>8. Penyerapan karbon tanaman</vt:lpstr>
      <vt:lpstr>9. Data Mill</vt:lpstr>
      <vt:lpstr>Data default</vt:lpstr>
      <vt:lpstr>Alokasi terhadap produk tanaman</vt:lpstr>
      <vt:lpstr>Daftar Pustaka</vt:lpstr>
      <vt:lpstr>LandUse</vt:lpstr>
      <vt:lpstr>LandUseType</vt:lpstr>
    </vt:vector>
  </TitlesOfParts>
  <Company>AAA COMPUTER REPAIRS.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Chase, Ian Henson, Amir Abdul-Manan</dc:creator>
  <cp:lastModifiedBy>Javin Tan</cp:lastModifiedBy>
  <dcterms:created xsi:type="dcterms:W3CDTF">2010-03-24T16:23:26Z</dcterms:created>
  <dcterms:modified xsi:type="dcterms:W3CDTF">2016-11-29T03:37:10Z</dcterms:modified>
</cp:coreProperties>
</file>