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updateLinks="never" codeName="ThisWorkbook"/>
  <mc:AlternateContent xmlns:mc="http://schemas.openxmlformats.org/markup-compatibility/2006">
    <mc:Choice Requires="x15">
      <x15ac:absPath xmlns:x15ac="http://schemas.microsoft.com/office/spreadsheetml/2010/11/ac" url="C:\Documents\GHG Assessment Procedure (New Plantings)\Coded document\"/>
    </mc:Choice>
  </mc:AlternateContent>
  <bookViews>
    <workbookView xWindow="0" yWindow="0" windowWidth="20490" windowHeight="7530" tabRatio="621" firstSheet="12" activeTab="15"/>
  </bookViews>
  <sheets>
    <sheet name="Introduction" sheetId="1" r:id="rId1"/>
    <sheet name="Abbreviation" sheetId="23" r:id="rId2"/>
    <sheet name="Instructions" sheetId="3" r:id="rId3"/>
    <sheet name="Resume des resultats" sheetId="4" r:id="rId4"/>
    <sheet name="1. Emissions CAT" sheetId="18" r:id="rId5"/>
    <sheet name="2. Production regimes (FFB)" sheetId="22" r:id="rId6"/>
    <sheet name="3. Carburant terrain" sheetId="8" r:id="rId7"/>
    <sheet name="4. Tourbe" sheetId="11" r:id="rId8"/>
    <sheet name="5. Engrais defini par l'utilisa" sheetId="16" r:id="rId9"/>
    <sheet name="6. Engrais et N2O" sheetId="7" r:id="rId10"/>
    <sheet name="7. Seq.Bloc Conservation" sheetId="10" r:id="rId11"/>
    <sheet name="8. Sequestration des cultures" sheetId="19" r:id="rId12"/>
    <sheet name="9. Donnees usine" sheetId="21" r:id="rId13"/>
    <sheet name="Donnees par defaut" sheetId="12" r:id="rId14"/>
    <sheet name="Alloc. emissions prod. cultures" sheetId="13" r:id="rId15"/>
    <sheet name="References" sheetId="14" r:id="rId16"/>
  </sheets>
  <externalReferences>
    <externalReference r:id="rId17"/>
    <externalReference r:id="rId18"/>
  </externalReferences>
  <definedNames>
    <definedName name="A" localSheetId="5">#REF!</definedName>
    <definedName name="A" localSheetId="12">#REF!</definedName>
    <definedName name="A" localSheetId="1">#REF!</definedName>
    <definedName name="A">#REF!</definedName>
    <definedName name="agro_inputs" localSheetId="5">#REF!</definedName>
    <definedName name="agro_inputs" localSheetId="12">#REF!</definedName>
    <definedName name="agro_inputs" localSheetId="1">#REF!</definedName>
    <definedName name="agro_inputs">#REF!</definedName>
    <definedName name="chemicals" localSheetId="5">#REF!</definedName>
    <definedName name="chemicals" localSheetId="12">#REF!</definedName>
    <definedName name="chemicals" localSheetId="1">#REF!</definedName>
    <definedName name="chemicals">#REF!</definedName>
    <definedName name="ChoiceListFeedstocks">[1]Chains!$H$11:$H$12</definedName>
    <definedName name="EF_agro_inputs" localSheetId="5">#REF!</definedName>
    <definedName name="EF_agro_inputs" localSheetId="12">#REF!</definedName>
    <definedName name="EF_agro_inputs" localSheetId="1">#REF!</definedName>
    <definedName name="EF_agro_inputs">#REF!</definedName>
    <definedName name="EF_chemicals_kg" localSheetId="5">#REF!</definedName>
    <definedName name="EF_chemicals_kg" localSheetId="12">#REF!</definedName>
    <definedName name="EF_chemicals_kg" localSheetId="1">#REF!</definedName>
    <definedName name="EF_chemicals_kg">#REF!</definedName>
    <definedName name="EF_chemicals_MJ" localSheetId="5">#REF!</definedName>
    <definedName name="EF_chemicals_MJ" localSheetId="12">#REF!</definedName>
    <definedName name="EF_chemicals_MJ" localSheetId="1">#REF!</definedName>
    <definedName name="EF_chemicals_MJ">#REF!</definedName>
    <definedName name="EF_electricity" localSheetId="5">#REF!</definedName>
    <definedName name="EF_electricity" localSheetId="12">#REF!</definedName>
    <definedName name="EF_electricity" localSheetId="1">#REF!</definedName>
    <definedName name="EF_electricity">#REF!</definedName>
    <definedName name="EF_fuels_MJ" localSheetId="5">#REF!</definedName>
    <definedName name="EF_fuels_MJ" localSheetId="12">#REF!</definedName>
    <definedName name="EF_fuels_MJ" localSheetId="1">#REF!</definedName>
    <definedName name="EF_fuels_MJ">#REF!</definedName>
    <definedName name="electricity" localSheetId="5">#REF!</definedName>
    <definedName name="electricity" localSheetId="12">#REF!</definedName>
    <definedName name="electricity" localSheetId="1">#REF!</definedName>
    <definedName name="electricity">#REF!</definedName>
    <definedName name="FE_transport" localSheetId="5">#REF!</definedName>
    <definedName name="FE_transport" localSheetId="12">#REF!</definedName>
    <definedName name="FE_transport" localSheetId="1">#REF!</definedName>
    <definedName name="FE_transport">#REF!</definedName>
    <definedName name="fuels" localSheetId="5">#REF!</definedName>
    <definedName name="fuels" localSheetId="12">#REF!</definedName>
    <definedName name="fuels" localSheetId="1">#REF!</definedName>
    <definedName name="fuels">#REF!</definedName>
    <definedName name="LandUse">'1. Emissions CAT'!$A$6:$A$21</definedName>
    <definedName name="LandUseType">'1. Emissions CAT'!$A$6:$A$21</definedName>
    <definedName name="LHV_fuels" localSheetId="5">#REF!</definedName>
    <definedName name="LHV_fuels" localSheetId="12">#REF!</definedName>
    <definedName name="LHV_fuels" localSheetId="1">#REF!</definedName>
    <definedName name="LHV_fuels">#REF!</definedName>
    <definedName name="LHV_solids" localSheetId="5">#REF!</definedName>
    <definedName name="LHV_solids" localSheetId="12">#REF!</definedName>
    <definedName name="LHV_solids" localSheetId="1">#REF!</definedName>
    <definedName name="LHV_solids">#REF!</definedName>
    <definedName name="Option_A_0_B_1">[2]About!$B$79</definedName>
    <definedName name="Options" localSheetId="5">#REF!</definedName>
    <definedName name="Options" localSheetId="12">#REF!</definedName>
    <definedName name="Options" localSheetId="1">#REF!</definedName>
    <definedName name="Options">#REF!</definedName>
    <definedName name="solids" localSheetId="5">#REF!</definedName>
    <definedName name="solids" localSheetId="12">#REF!</definedName>
    <definedName name="solids" localSheetId="1">#REF!</definedName>
    <definedName name="solids">#REF!</definedName>
    <definedName name="Transport" localSheetId="5">#REF!</definedName>
    <definedName name="Transport" localSheetId="12">#REF!</definedName>
    <definedName name="Transport" localSheetId="1">#REF!</definedName>
    <definedName name="Transport">#REF!</definedName>
  </definedNames>
  <calcPr calcId="162913" concurrentCalc="0"/>
  <customWorkbookViews>
    <customWorkbookView name="Melissa.chin - Personal View" guid="{E65377FD-65C5-4E48-ADBC-1C49981F2400}" mergeInterval="0" personalView="1" maximized="1" xWindow="1" yWindow="1" windowWidth="1362" windowHeight="538" activeSheetId="12"/>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0" i="21" l="1"/>
  <c r="B79" i="21"/>
  <c r="G34" i="4"/>
  <c r="E80" i="7"/>
  <c r="E81" i="7"/>
  <c r="G64" i="4"/>
  <c r="G66" i="4"/>
  <c r="G67" i="4"/>
  <c r="G68" i="4"/>
  <c r="G63" i="4"/>
  <c r="H9" i="4"/>
  <c r="H8" i="4"/>
  <c r="H7" i="4"/>
  <c r="H5" i="4"/>
  <c r="H4" i="4"/>
  <c r="E82" i="7"/>
  <c r="E83" i="7"/>
  <c r="E84" i="7"/>
  <c r="C345" i="12"/>
  <c r="C344" i="12"/>
  <c r="C340" i="12"/>
  <c r="C339" i="12"/>
  <c r="C338" i="12"/>
  <c r="C334" i="12"/>
  <c r="C333" i="12"/>
  <c r="C332" i="12"/>
  <c r="C331" i="12"/>
  <c r="C330" i="12"/>
  <c r="C316" i="12"/>
  <c r="C315" i="12"/>
  <c r="C311" i="12"/>
  <c r="C310" i="12"/>
  <c r="C309" i="12"/>
  <c r="C305" i="12"/>
  <c r="C304" i="12"/>
  <c r="C303" i="12"/>
  <c r="C302" i="12"/>
  <c r="C301" i="12"/>
  <c r="C287" i="12"/>
  <c r="C286" i="12"/>
  <c r="C282" i="12"/>
  <c r="C281" i="12"/>
  <c r="C280" i="12"/>
  <c r="C276" i="12"/>
  <c r="C275" i="12"/>
  <c r="C274" i="12"/>
  <c r="C273" i="12"/>
  <c r="C272" i="12"/>
  <c r="C277" i="12"/>
  <c r="C258" i="12"/>
  <c r="C257" i="12"/>
  <c r="C253" i="12"/>
  <c r="C252" i="12"/>
  <c r="C251" i="12"/>
  <c r="C247" i="12"/>
  <c r="C246" i="12"/>
  <c r="C245" i="12"/>
  <c r="C244" i="12"/>
  <c r="C243" i="12"/>
  <c r="C229" i="12"/>
  <c r="C228" i="12"/>
  <c r="C224" i="12"/>
  <c r="C223" i="12"/>
  <c r="C222" i="12"/>
  <c r="C218" i="12"/>
  <c r="C217" i="12"/>
  <c r="C216" i="12"/>
  <c r="C215" i="12"/>
  <c r="C214" i="12"/>
  <c r="B346" i="12"/>
  <c r="B341" i="12"/>
  <c r="B335" i="12"/>
  <c r="B317" i="12"/>
  <c r="B312" i="12"/>
  <c r="B306" i="12"/>
  <c r="B288" i="12"/>
  <c r="B283" i="12"/>
  <c r="B277" i="12"/>
  <c r="B259" i="12"/>
  <c r="B254" i="12"/>
  <c r="B248" i="12"/>
  <c r="B230" i="12"/>
  <c r="B225" i="12"/>
  <c r="B219" i="12"/>
  <c r="C200" i="12"/>
  <c r="C199" i="12"/>
  <c r="C195" i="12"/>
  <c r="C194" i="12"/>
  <c r="C193" i="12"/>
  <c r="C189" i="12"/>
  <c r="C188" i="12"/>
  <c r="C187" i="12"/>
  <c r="C186" i="12"/>
  <c r="C185" i="12"/>
  <c r="C171" i="12"/>
  <c r="C170" i="12"/>
  <c r="C172" i="12"/>
  <c r="C166" i="12"/>
  <c r="C165" i="12"/>
  <c r="C164" i="12"/>
  <c r="C160" i="12"/>
  <c r="C159" i="12"/>
  <c r="C158" i="12"/>
  <c r="C157" i="12"/>
  <c r="C156" i="12"/>
  <c r="C142" i="12"/>
  <c r="C141" i="12"/>
  <c r="C137" i="12"/>
  <c r="C136" i="12"/>
  <c r="C135" i="12"/>
  <c r="C131" i="12"/>
  <c r="C130" i="12"/>
  <c r="C129" i="12"/>
  <c r="C128" i="12"/>
  <c r="C127" i="12"/>
  <c r="B201" i="12"/>
  <c r="B196" i="12"/>
  <c r="B190" i="12"/>
  <c r="B172" i="12"/>
  <c r="B167" i="12"/>
  <c r="B161" i="12"/>
  <c r="B143" i="12"/>
  <c r="B138" i="12"/>
  <c r="B132" i="12"/>
  <c r="C27" i="18"/>
  <c r="C28" i="18"/>
  <c r="C278" i="12"/>
  <c r="C288" i="12"/>
  <c r="C173" i="12"/>
  <c r="C143" i="12"/>
  <c r="C341" i="12"/>
  <c r="C342" i="12"/>
  <c r="C289" i="12"/>
  <c r="C312" i="12"/>
  <c r="C313" i="12"/>
  <c r="C225" i="12"/>
  <c r="C226" i="12"/>
  <c r="C230" i="12"/>
  <c r="C231" i="12"/>
  <c r="C259" i="12"/>
  <c r="C260" i="12"/>
  <c r="C317" i="12"/>
  <c r="C318" i="12"/>
  <c r="C306" i="12"/>
  <c r="C307" i="12"/>
  <c r="C248" i="12"/>
  <c r="C249" i="12"/>
  <c r="C283" i="12"/>
  <c r="C284" i="12"/>
  <c r="C346" i="12"/>
  <c r="C347" i="12"/>
  <c r="C254" i="12"/>
  <c r="C255" i="12"/>
  <c r="C335" i="12"/>
  <c r="C336" i="12"/>
  <c r="C219" i="12"/>
  <c r="C220" i="12"/>
  <c r="C161" i="12"/>
  <c r="C162" i="12"/>
  <c r="C144" i="12"/>
  <c r="C132" i="12"/>
  <c r="C133" i="12"/>
  <c r="C138" i="12"/>
  <c r="C139" i="12"/>
  <c r="C196" i="12"/>
  <c r="C197" i="12"/>
  <c r="C201" i="12"/>
  <c r="C202" i="12"/>
  <c r="C167" i="12"/>
  <c r="C168" i="12"/>
  <c r="C190" i="12"/>
  <c r="C191" i="12"/>
  <c r="C113" i="12"/>
  <c r="C112" i="12"/>
  <c r="C99" i="12"/>
  <c r="C98" i="12"/>
  <c r="B114" i="12"/>
  <c r="B109" i="12"/>
  <c r="C108" i="12"/>
  <c r="C107" i="12"/>
  <c r="C106" i="12"/>
  <c r="B103" i="12"/>
  <c r="C102" i="12"/>
  <c r="C101" i="12"/>
  <c r="C100" i="12"/>
  <c r="C216" i="16"/>
  <c r="C190" i="16"/>
  <c r="C242" i="16"/>
  <c r="C86" i="16"/>
  <c r="C164" i="16"/>
  <c r="C138" i="16"/>
  <c r="C112" i="16"/>
  <c r="C268" i="16"/>
  <c r="C114" i="12"/>
  <c r="C115" i="12"/>
  <c r="C109" i="12"/>
  <c r="C110" i="12"/>
  <c r="C103" i="12"/>
  <c r="C104" i="12"/>
  <c r="C60" i="16"/>
  <c r="C21" i="7"/>
  <c r="E52" i="12"/>
  <c r="E59" i="12"/>
  <c r="E58" i="12"/>
  <c r="E57" i="12"/>
  <c r="E56" i="12"/>
  <c r="E55" i="12"/>
  <c r="E54" i="12"/>
  <c r="E53" i="12"/>
  <c r="D59" i="12"/>
  <c r="D58" i="12"/>
  <c r="D57" i="12"/>
  <c r="D56" i="12"/>
  <c r="D55" i="12"/>
  <c r="D54" i="12"/>
  <c r="D53" i="12"/>
  <c r="D52" i="12"/>
  <c r="D51" i="12"/>
  <c r="D50" i="12"/>
  <c r="B54" i="12"/>
  <c r="I54" i="12"/>
  <c r="B53" i="12"/>
  <c r="I53" i="12"/>
  <c r="B52" i="12"/>
  <c r="J52" i="12"/>
  <c r="B51" i="12"/>
  <c r="I51" i="12"/>
  <c r="B55" i="12"/>
  <c r="B56" i="12"/>
  <c r="B57" i="12"/>
  <c r="J57" i="12"/>
  <c r="B58" i="12"/>
  <c r="J58" i="12"/>
  <c r="B59" i="12"/>
  <c r="J59" i="12"/>
  <c r="E51" i="12"/>
  <c r="E50" i="12"/>
  <c r="B50" i="12"/>
  <c r="I50" i="12"/>
  <c r="A59" i="12"/>
  <c r="A58" i="12"/>
  <c r="A57" i="12"/>
  <c r="A56" i="12"/>
  <c r="A55" i="12"/>
  <c r="A54" i="12"/>
  <c r="A53" i="12"/>
  <c r="A52" i="12"/>
  <c r="A51" i="12"/>
  <c r="A50" i="12"/>
  <c r="A28" i="7"/>
  <c r="A52" i="7"/>
  <c r="A27" i="7"/>
  <c r="A51" i="7"/>
  <c r="A26" i="7"/>
  <c r="A50" i="7"/>
  <c r="A25" i="7"/>
  <c r="A49" i="7"/>
  <c r="A24" i="7"/>
  <c r="A48" i="7"/>
  <c r="C25" i="7"/>
  <c r="C26" i="7"/>
  <c r="C27" i="7"/>
  <c r="C28" i="7"/>
  <c r="E69" i="7"/>
  <c r="E68" i="7"/>
  <c r="G254" i="16"/>
  <c r="H254" i="16"/>
  <c r="H252" i="16"/>
  <c r="I252" i="16"/>
  <c r="J250" i="16"/>
  <c r="G228" i="16"/>
  <c r="H228" i="16"/>
  <c r="H226" i="16"/>
  <c r="I226" i="16"/>
  <c r="J224" i="16"/>
  <c r="G202" i="16"/>
  <c r="H202" i="16"/>
  <c r="H200" i="16"/>
  <c r="I200" i="16"/>
  <c r="J198" i="16"/>
  <c r="G176" i="16"/>
  <c r="H176" i="16"/>
  <c r="H174" i="16"/>
  <c r="I174" i="16"/>
  <c r="J172" i="16"/>
  <c r="G150" i="16"/>
  <c r="H150" i="16"/>
  <c r="H148" i="16"/>
  <c r="I148" i="16"/>
  <c r="J146" i="16"/>
  <c r="G124" i="16"/>
  <c r="H124" i="16"/>
  <c r="H122" i="16"/>
  <c r="I122" i="16"/>
  <c r="J120" i="16"/>
  <c r="G98" i="16"/>
  <c r="H98" i="16"/>
  <c r="H96" i="16"/>
  <c r="I96" i="16"/>
  <c r="J94" i="16"/>
  <c r="G72" i="16"/>
  <c r="H72" i="16"/>
  <c r="H70" i="16"/>
  <c r="I70" i="16"/>
  <c r="J68" i="16"/>
  <c r="G46" i="16"/>
  <c r="H46" i="16"/>
  <c r="H44" i="16"/>
  <c r="I44" i="16"/>
  <c r="J42" i="16"/>
  <c r="B7" i="18"/>
  <c r="B8" i="18"/>
  <c r="B9" i="18"/>
  <c r="B10" i="18"/>
  <c r="B11" i="18"/>
  <c r="B6" i="18"/>
  <c r="B13" i="18"/>
  <c r="B12" i="18"/>
  <c r="C12" i="18"/>
  <c r="C47" i="18"/>
  <c r="C45" i="18"/>
  <c r="C46" i="18"/>
  <c r="C48" i="18"/>
  <c r="C49" i="18"/>
  <c r="C50" i="18"/>
  <c r="C51" i="18"/>
  <c r="C52" i="18"/>
  <c r="C53" i="18"/>
  <c r="C44" i="18"/>
  <c r="C54" i="18"/>
  <c r="C55" i="18"/>
  <c r="C56" i="18"/>
  <c r="E47" i="18"/>
  <c r="F47" i="18"/>
  <c r="G47" i="18"/>
  <c r="E46" i="18"/>
  <c r="E45" i="18"/>
  <c r="E48" i="18"/>
  <c r="F48" i="18"/>
  <c r="G48" i="18"/>
  <c r="E49" i="18"/>
  <c r="F49" i="18"/>
  <c r="G49" i="18"/>
  <c r="E50" i="18"/>
  <c r="E51" i="18"/>
  <c r="E52" i="18"/>
  <c r="F52" i="18"/>
  <c r="G52" i="18"/>
  <c r="E53" i="18"/>
  <c r="F53" i="18"/>
  <c r="G53" i="18"/>
  <c r="E54" i="18"/>
  <c r="E55" i="18"/>
  <c r="E44" i="18"/>
  <c r="F44" i="18"/>
  <c r="G44" i="18"/>
  <c r="E27" i="18"/>
  <c r="F27" i="18"/>
  <c r="E32" i="18"/>
  <c r="E33" i="18"/>
  <c r="E34" i="18"/>
  <c r="E35" i="18"/>
  <c r="E36" i="18"/>
  <c r="E37" i="18"/>
  <c r="E38" i="18"/>
  <c r="F38" i="18"/>
  <c r="G38" i="18"/>
  <c r="C32" i="18"/>
  <c r="C33" i="18"/>
  <c r="C34" i="18"/>
  <c r="C35" i="18"/>
  <c r="C36" i="18"/>
  <c r="C37" i="18"/>
  <c r="C38" i="18"/>
  <c r="C31" i="18"/>
  <c r="F45" i="18"/>
  <c r="G45" i="18"/>
  <c r="F46" i="18"/>
  <c r="G46" i="18"/>
  <c r="F50" i="18"/>
  <c r="G50" i="18"/>
  <c r="F51" i="18"/>
  <c r="G51" i="18"/>
  <c r="F54" i="18"/>
  <c r="G54" i="18"/>
  <c r="F55" i="18"/>
  <c r="G55" i="18"/>
  <c r="C29" i="18"/>
  <c r="C30" i="18"/>
  <c r="C16" i="18"/>
  <c r="C17" i="18"/>
  <c r="C18" i="18"/>
  <c r="E31" i="18"/>
  <c r="C19" i="18"/>
  <c r="C20" i="18"/>
  <c r="C21" i="18"/>
  <c r="C15" i="18"/>
  <c r="C14" i="18"/>
  <c r="G27" i="18"/>
  <c r="G56" i="18"/>
  <c r="J54" i="12"/>
  <c r="K54" i="12"/>
  <c r="L54" i="12"/>
  <c r="J53" i="12"/>
  <c r="K53" i="12"/>
  <c r="L53" i="12"/>
  <c r="J51" i="12"/>
  <c r="J50" i="12"/>
  <c r="K50" i="12"/>
  <c r="L50" i="12"/>
  <c r="I57" i="12"/>
  <c r="K57" i="12"/>
  <c r="L57" i="12"/>
  <c r="K51" i="12"/>
  <c r="L51" i="12"/>
  <c r="I58" i="12"/>
  <c r="K58" i="12"/>
  <c r="L58" i="12"/>
  <c r="I52" i="12"/>
  <c r="K52" i="12"/>
  <c r="L52" i="12"/>
  <c r="I59" i="12"/>
  <c r="K59" i="12"/>
  <c r="L59" i="12"/>
  <c r="F56" i="18"/>
  <c r="E56" i="18"/>
  <c r="B80" i="21"/>
  <c r="B68" i="21"/>
  <c r="B67" i="21"/>
  <c r="B38" i="4"/>
  <c r="F36" i="18"/>
  <c r="G36" i="18"/>
  <c r="C81" i="12"/>
  <c r="C82" i="12"/>
  <c r="C77" i="12"/>
  <c r="C76" i="12"/>
  <c r="C75" i="12"/>
  <c r="C71" i="12"/>
  <c r="C70" i="12"/>
  <c r="C69" i="12"/>
  <c r="C68" i="12"/>
  <c r="C67" i="12"/>
  <c r="B83" i="12"/>
  <c r="B78" i="12"/>
  <c r="B72" i="12"/>
  <c r="H24" i="12"/>
  <c r="C11" i="18"/>
  <c r="H23" i="12"/>
  <c r="C10" i="18"/>
  <c r="H22" i="12"/>
  <c r="C9" i="18"/>
  <c r="E30" i="18"/>
  <c r="H21" i="12"/>
  <c r="C8" i="18"/>
  <c r="E29" i="18"/>
  <c r="H20" i="12"/>
  <c r="C7" i="18"/>
  <c r="E28" i="18"/>
  <c r="H19" i="12"/>
  <c r="C6" i="18"/>
  <c r="C8" i="10"/>
  <c r="B11" i="4"/>
  <c r="I9" i="4"/>
  <c r="G36" i="4"/>
  <c r="G33" i="4"/>
  <c r="G31" i="4"/>
  <c r="G30" i="4"/>
  <c r="G29" i="4"/>
  <c r="B7" i="13"/>
  <c r="B6" i="13"/>
  <c r="C20" i="7"/>
  <c r="C22" i="7"/>
  <c r="C23" i="7"/>
  <c r="C24" i="7"/>
  <c r="B73" i="21"/>
  <c r="B39" i="4"/>
  <c r="H36" i="4"/>
  <c r="I56" i="12"/>
  <c r="J56" i="12"/>
  <c r="F28" i="18"/>
  <c r="G28" i="18"/>
  <c r="E39" i="18"/>
  <c r="C78" i="12"/>
  <c r="C79" i="12"/>
  <c r="B9" i="13"/>
  <c r="B10" i="13"/>
  <c r="K56" i="12"/>
  <c r="L56" i="12"/>
  <c r="C83" i="12"/>
  <c r="C84" i="12"/>
  <c r="C72" i="12"/>
  <c r="C73" i="12"/>
  <c r="B30" i="21"/>
  <c r="B29" i="21"/>
  <c r="B28" i="21"/>
  <c r="B27" i="21"/>
  <c r="B15" i="21"/>
  <c r="B14" i="21"/>
  <c r="B54" i="21"/>
  <c r="B53" i="21"/>
  <c r="B51" i="21"/>
  <c r="B50" i="21"/>
  <c r="B48" i="21"/>
  <c r="B46" i="21"/>
  <c r="B44" i="21"/>
  <c r="B43" i="21"/>
  <c r="B42" i="21"/>
  <c r="C34" i="16"/>
  <c r="G50" i="12"/>
  <c r="E19" i="7"/>
  <c r="G57" i="12"/>
  <c r="E26" i="7"/>
  <c r="G58" i="12"/>
  <c r="E27" i="7"/>
  <c r="G53" i="12"/>
  <c r="E22" i="7"/>
  <c r="G52" i="12"/>
  <c r="E21" i="7"/>
  <c r="G55" i="12"/>
  <c r="E24" i="7"/>
  <c r="G54" i="12"/>
  <c r="E23" i="7"/>
  <c r="G51" i="12"/>
  <c r="E20" i="7"/>
  <c r="G56" i="12"/>
  <c r="E25" i="7"/>
  <c r="G59" i="12"/>
  <c r="E28" i="7"/>
  <c r="B45" i="21"/>
  <c r="B49" i="21"/>
  <c r="B55" i="21"/>
  <c r="B11" i="11"/>
  <c r="B14" i="11"/>
  <c r="B13" i="11"/>
  <c r="B16" i="11"/>
  <c r="B12" i="11"/>
  <c r="B15" i="11"/>
  <c r="B56" i="18"/>
  <c r="E92" i="7"/>
  <c r="C39" i="18"/>
  <c r="C59" i="18"/>
  <c r="E78" i="7"/>
  <c r="C13" i="18"/>
  <c r="P31" i="19"/>
  <c r="Q31" i="19"/>
  <c r="P30" i="19"/>
  <c r="Q30" i="19"/>
  <c r="P29" i="19"/>
  <c r="Q29" i="19"/>
  <c r="P28" i="19"/>
  <c r="Q28" i="19"/>
  <c r="P27" i="19"/>
  <c r="Q27" i="19"/>
  <c r="P26" i="19"/>
  <c r="Q26" i="19"/>
  <c r="P25" i="19"/>
  <c r="Q25" i="19"/>
  <c r="P24" i="19"/>
  <c r="Q24" i="19"/>
  <c r="P23" i="19"/>
  <c r="Q23" i="19"/>
  <c r="P22" i="19"/>
  <c r="Q22" i="19"/>
  <c r="P21" i="19"/>
  <c r="Q21" i="19"/>
  <c r="P20" i="19"/>
  <c r="Q20" i="19"/>
  <c r="P19" i="19"/>
  <c r="Q19" i="19"/>
  <c r="P18" i="19"/>
  <c r="Q18" i="19"/>
  <c r="P17" i="19"/>
  <c r="Q17" i="19"/>
  <c r="P16" i="19"/>
  <c r="Q16" i="19"/>
  <c r="P15" i="19"/>
  <c r="Q15" i="19"/>
  <c r="P14" i="19"/>
  <c r="Q14" i="19"/>
  <c r="P13" i="19"/>
  <c r="Q13" i="19"/>
  <c r="P12" i="19"/>
  <c r="Q12" i="19"/>
  <c r="P11" i="19"/>
  <c r="Q11" i="19"/>
  <c r="P10" i="19"/>
  <c r="Q10" i="19"/>
  <c r="P9" i="19"/>
  <c r="Q9" i="19"/>
  <c r="P8" i="19"/>
  <c r="Q8" i="19"/>
  <c r="P7" i="19"/>
  <c r="Q7" i="19"/>
  <c r="G31" i="19"/>
  <c r="H31" i="19"/>
  <c r="G30" i="19"/>
  <c r="H30" i="19"/>
  <c r="G29" i="19"/>
  <c r="H29" i="19"/>
  <c r="G28" i="19"/>
  <c r="H28" i="19"/>
  <c r="G27" i="19"/>
  <c r="H27" i="19"/>
  <c r="G26" i="19"/>
  <c r="H26" i="19"/>
  <c r="G25" i="19"/>
  <c r="H25" i="19"/>
  <c r="G24" i="19"/>
  <c r="H24" i="19"/>
  <c r="G23" i="19"/>
  <c r="H23" i="19"/>
  <c r="G22" i="19"/>
  <c r="H22" i="19"/>
  <c r="G21" i="19"/>
  <c r="H21" i="19"/>
  <c r="G20" i="19"/>
  <c r="H20" i="19"/>
  <c r="G19" i="19"/>
  <c r="H19" i="19"/>
  <c r="G18" i="19"/>
  <c r="H18" i="19"/>
  <c r="G17" i="19"/>
  <c r="H17" i="19"/>
  <c r="G16" i="19"/>
  <c r="H16" i="19"/>
  <c r="G15" i="19"/>
  <c r="H15" i="19"/>
  <c r="G14" i="19"/>
  <c r="H14" i="19"/>
  <c r="G13" i="19"/>
  <c r="H13" i="19"/>
  <c r="G12" i="19"/>
  <c r="H12" i="19"/>
  <c r="G11" i="19"/>
  <c r="H11" i="19"/>
  <c r="G10" i="19"/>
  <c r="H10" i="19"/>
  <c r="G9" i="19"/>
  <c r="H9" i="19"/>
  <c r="G8" i="19"/>
  <c r="H8" i="19"/>
  <c r="G7" i="19"/>
  <c r="H7" i="19"/>
  <c r="E48" i="7"/>
  <c r="H48" i="7"/>
  <c r="E52" i="7"/>
  <c r="H52" i="7"/>
  <c r="B6" i="4"/>
  <c r="I5" i="4"/>
  <c r="E45" i="7"/>
  <c r="H45" i="7"/>
  <c r="E49" i="7"/>
  <c r="E46" i="7"/>
  <c r="H46" i="7"/>
  <c r="E50" i="7"/>
  <c r="H50" i="7"/>
  <c r="C11" i="4"/>
  <c r="E47" i="7"/>
  <c r="H47" i="7"/>
  <c r="E51" i="7"/>
  <c r="H51" i="7"/>
  <c r="E37" i="7"/>
  <c r="I37" i="7"/>
  <c r="B18" i="11"/>
  <c r="E70" i="7"/>
  <c r="B26" i="4"/>
  <c r="H64" i="4"/>
  <c r="C14" i="8"/>
  <c r="B47" i="21"/>
  <c r="B30" i="4"/>
  <c r="B10" i="4"/>
  <c r="C6" i="4"/>
  <c r="I14" i="8"/>
  <c r="E41" i="7"/>
  <c r="E39" i="7"/>
  <c r="B7" i="22"/>
  <c r="B8" i="22"/>
  <c r="L14" i="8"/>
  <c r="E38" i="7"/>
  <c r="E34" i="7"/>
  <c r="C7" i="10"/>
  <c r="F14" i="8"/>
  <c r="C39" i="4"/>
  <c r="E44" i="7"/>
  <c r="H44" i="7"/>
  <c r="E36" i="7"/>
  <c r="C38" i="4"/>
  <c r="E58" i="7"/>
  <c r="E40" i="7"/>
  <c r="E43" i="7"/>
  <c r="E42" i="7"/>
  <c r="E35" i="7"/>
  <c r="E93" i="7"/>
  <c r="B8" i="4"/>
  <c r="C26" i="4"/>
  <c r="H30" i="4"/>
  <c r="F29" i="18"/>
  <c r="G29" i="18"/>
  <c r="F30" i="18"/>
  <c r="G30" i="18"/>
  <c r="F31" i="18"/>
  <c r="G31" i="18"/>
  <c r="F32" i="18"/>
  <c r="G32" i="18"/>
  <c r="F33" i="18"/>
  <c r="G33" i="18"/>
  <c r="F34" i="18"/>
  <c r="G34" i="18"/>
  <c r="F35" i="18"/>
  <c r="G35" i="18"/>
  <c r="F37" i="18"/>
  <c r="G37" i="18"/>
  <c r="G39" i="18"/>
  <c r="C60" i="18"/>
  <c r="C30" i="4"/>
  <c r="H67" i="4"/>
  <c r="C10" i="4"/>
  <c r="I8" i="4"/>
  <c r="H31" i="4"/>
  <c r="F39" i="18"/>
  <c r="B5" i="4"/>
  <c r="D26" i="4"/>
  <c r="D10" i="4"/>
  <c r="D11" i="4"/>
  <c r="D6" i="4"/>
  <c r="C8" i="4"/>
  <c r="D8" i="4"/>
  <c r="D30" i="4"/>
  <c r="B6" i="21"/>
  <c r="B20" i="21"/>
  <c r="C5" i="4"/>
  <c r="I4" i="4"/>
  <c r="D5" i="4"/>
  <c r="D38" i="4"/>
  <c r="B33" i="21"/>
  <c r="B34" i="21"/>
  <c r="B58" i="21"/>
  <c r="H20" i="21"/>
  <c r="D39" i="4"/>
  <c r="K20" i="21"/>
  <c r="B9" i="21"/>
  <c r="B74" i="21"/>
  <c r="B10" i="21"/>
  <c r="B71" i="21"/>
  <c r="E20" i="21"/>
  <c r="B25" i="4"/>
  <c r="H63" i="4"/>
  <c r="E67" i="7"/>
  <c r="E71" i="7"/>
  <c r="E72" i="7"/>
  <c r="B81" i="21"/>
  <c r="B40" i="4"/>
  <c r="H37" i="4"/>
  <c r="E57" i="7"/>
  <c r="B23" i="21"/>
  <c r="B37" i="4"/>
  <c r="C37" i="4"/>
  <c r="H29" i="4"/>
  <c r="C25" i="4"/>
  <c r="D25" i="4"/>
  <c r="B59" i="21"/>
  <c r="B60" i="21"/>
  <c r="C19" i="7"/>
  <c r="C40" i="4"/>
  <c r="D40" i="4"/>
  <c r="D37" i="4"/>
  <c r="B61" i="21"/>
  <c r="B36" i="4"/>
  <c r="B41" i="4"/>
  <c r="J55" i="12"/>
  <c r="I55" i="12"/>
  <c r="G15" i="16"/>
  <c r="H15" i="16"/>
  <c r="H13" i="16"/>
  <c r="I13" i="16"/>
  <c r="J11" i="16"/>
  <c r="H34" i="4"/>
  <c r="C36" i="4"/>
  <c r="K55" i="12"/>
  <c r="L55" i="12"/>
  <c r="H49" i="7"/>
  <c r="D36" i="4"/>
  <c r="C41" i="4"/>
  <c r="D41" i="4"/>
  <c r="C28" i="8"/>
  <c r="E20" i="8"/>
  <c r="C8" i="8"/>
  <c r="B29"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C27" i="8"/>
  <c r="C7" i="8"/>
  <c r="C17" i="8"/>
  <c r="C20" i="8"/>
  <c r="F20" i="8"/>
  <c r="B30" i="11"/>
  <c r="C30" i="11"/>
  <c r="D30" i="11"/>
  <c r="E30" i="11"/>
  <c r="F30" i="11"/>
  <c r="G30" i="11"/>
  <c r="H30" i="11"/>
  <c r="J30" i="11"/>
  <c r="K30" i="11"/>
  <c r="M30" i="11"/>
  <c r="N30" i="11"/>
  <c r="P30" i="11"/>
  <c r="Q30" i="11"/>
  <c r="R30" i="11"/>
  <c r="S30" i="11"/>
  <c r="U30" i="11"/>
  <c r="V30" i="11"/>
  <c r="X30" i="11"/>
  <c r="Y30" i="11"/>
  <c r="Z30" i="11"/>
  <c r="AA30" i="11"/>
  <c r="AB30" i="11"/>
  <c r="AC30" i="11"/>
  <c r="AD30" i="11"/>
  <c r="I40" i="12"/>
  <c r="J40" i="12"/>
  <c r="I41" i="12"/>
  <c r="J41" i="12"/>
  <c r="I42" i="12"/>
  <c r="J42" i="12"/>
  <c r="I43" i="12"/>
  <c r="J43" i="12"/>
  <c r="I44" i="12"/>
  <c r="J44" i="12"/>
  <c r="B14" i="12"/>
  <c r="C9" i="7"/>
  <c r="E9" i="7"/>
  <c r="C10" i="7"/>
  <c r="E10" i="7"/>
  <c r="C11" i="7"/>
  <c r="E11" i="7"/>
  <c r="C12" i="7"/>
  <c r="E12" i="7"/>
  <c r="C13" i="7"/>
  <c r="E13" i="7"/>
  <c r="C14" i="7"/>
  <c r="E14" i="7"/>
  <c r="C15" i="7"/>
  <c r="E15" i="7"/>
  <c r="C16" i="7"/>
  <c r="E16" i="7"/>
  <c r="C17" i="7"/>
  <c r="E17" i="7"/>
  <c r="C18" i="7"/>
  <c r="E18" i="7"/>
  <c r="B31" i="4"/>
  <c r="B23" i="8"/>
  <c r="E23" i="8"/>
  <c r="B24" i="8"/>
  <c r="E24" i="8"/>
  <c r="B22" i="8"/>
  <c r="E22" i="8"/>
  <c r="B21" i="8"/>
  <c r="E21" i="8"/>
  <c r="B27"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H33" i="4"/>
  <c r="H68" i="4"/>
  <c r="D26" i="7"/>
  <c r="F26" i="7"/>
  <c r="G50" i="7"/>
  <c r="D21" i="7"/>
  <c r="F21" i="7"/>
  <c r="D27" i="7"/>
  <c r="F27" i="7"/>
  <c r="G51" i="7"/>
  <c r="D25" i="7"/>
  <c r="F25" i="7"/>
  <c r="G49" i="7"/>
  <c r="D28" i="7"/>
  <c r="F28" i="7"/>
  <c r="G52" i="7"/>
  <c r="B29" i="4"/>
  <c r="H66" i="4"/>
  <c r="B9" i="4"/>
  <c r="I7" i="4"/>
  <c r="D14" i="7"/>
  <c r="F14" i="7"/>
  <c r="D23" i="7"/>
  <c r="F23" i="7"/>
  <c r="D24" i="7"/>
  <c r="D20" i="7"/>
  <c r="F20" i="7"/>
  <c r="I53" i="7"/>
  <c r="D22" i="7"/>
  <c r="F22" i="7"/>
  <c r="D31" i="4"/>
  <c r="C31" i="4"/>
  <c r="K43" i="12"/>
  <c r="L43" i="12"/>
  <c r="H37" i="7"/>
  <c r="K41" i="12"/>
  <c r="L41" i="12"/>
  <c r="H35" i="7"/>
  <c r="D13" i="7"/>
  <c r="F13" i="7"/>
  <c r="G38" i="7"/>
  <c r="D15" i="7"/>
  <c r="F15" i="7"/>
  <c r="G40" i="7"/>
  <c r="D11" i="7"/>
  <c r="F11" i="7"/>
  <c r="D16" i="7"/>
  <c r="F16" i="7"/>
  <c r="D12" i="7"/>
  <c r="F12" i="7"/>
  <c r="D17" i="7"/>
  <c r="F17" i="7"/>
  <c r="D19" i="7"/>
  <c r="D9" i="7"/>
  <c r="F9" i="7"/>
  <c r="D18" i="7"/>
  <c r="F18" i="7"/>
  <c r="D10" i="7"/>
  <c r="F10" i="7"/>
  <c r="C31" i="8"/>
  <c r="E95" i="7"/>
  <c r="AE30" i="11"/>
  <c r="I30" i="11"/>
  <c r="T30" i="11"/>
  <c r="L30" i="11"/>
  <c r="W30" i="11"/>
  <c r="O30" i="11"/>
  <c r="K44" i="12"/>
  <c r="L44" i="12"/>
  <c r="H38" i="7"/>
  <c r="K42" i="12"/>
  <c r="L42" i="12"/>
  <c r="H36" i="7"/>
  <c r="K40" i="12"/>
  <c r="L40" i="12"/>
  <c r="H34" i="7"/>
  <c r="H53" i="7"/>
  <c r="E88" i="7"/>
  <c r="F24" i="7"/>
  <c r="G48" i="7"/>
  <c r="D9" i="4"/>
  <c r="C9" i="4"/>
  <c r="G45" i="7"/>
  <c r="G46" i="7"/>
  <c r="G47" i="7"/>
  <c r="F19" i="7"/>
  <c r="G44" i="7"/>
  <c r="D29" i="4"/>
  <c r="C29" i="4"/>
  <c r="H35" i="4"/>
  <c r="G34" i="7"/>
  <c r="G36" i="7"/>
  <c r="G43" i="7"/>
  <c r="G37" i="7"/>
  <c r="G35" i="7"/>
  <c r="D28" i="8"/>
  <c r="G42" i="7"/>
  <c r="G39" i="7"/>
  <c r="G41" i="7"/>
  <c r="G53" i="7"/>
  <c r="D27" i="8"/>
  <c r="C30" i="8"/>
  <c r="AG31" i="11"/>
  <c r="E59" i="7"/>
  <c r="E60" i="7"/>
  <c r="E61" i="7"/>
  <c r="E96" i="7"/>
  <c r="E99" i="7"/>
  <c r="E100" i="7"/>
  <c r="B27" i="4"/>
  <c r="B7" i="4"/>
  <c r="E62" i="7"/>
  <c r="E63" i="7"/>
  <c r="E64" i="7"/>
  <c r="E90" i="7"/>
  <c r="B12" i="4"/>
  <c r="I6" i="4"/>
  <c r="D27" i="4"/>
  <c r="C27" i="4"/>
  <c r="D7" i="4"/>
  <c r="C7" i="4"/>
  <c r="E73" i="7"/>
  <c r="E74" i="7"/>
  <c r="E75" i="7"/>
  <c r="E76" i="7"/>
  <c r="E85" i="7"/>
  <c r="E89" i="7"/>
  <c r="E91" i="7"/>
  <c r="B28" i="4"/>
  <c r="H65" i="4"/>
  <c r="H32" i="4"/>
  <c r="B32" i="4"/>
  <c r="D12" i="4"/>
  <c r="C12" i="4"/>
  <c r="D28" i="4"/>
  <c r="C28" i="4"/>
  <c r="D32" i="4"/>
  <c r="C32" i="4"/>
  <c r="B43" i="4"/>
  <c r="B46" i="4"/>
  <c r="H22" i="4"/>
  <c r="B47" i="4"/>
  <c r="H23" i="4"/>
  <c r="C31" i="11"/>
  <c r="B31" i="11"/>
  <c r="AD31" i="11"/>
  <c r="J31" i="11"/>
  <c r="Y31" i="11"/>
  <c r="Z31" i="11"/>
  <c r="M31" i="11"/>
  <c r="U31" i="11"/>
  <c r="O31" i="11"/>
  <c r="W31" i="11"/>
  <c r="V31" i="11"/>
  <c r="I31" i="11"/>
  <c r="AA31" i="11"/>
  <c r="K31" i="11"/>
  <c r="D31" i="11"/>
  <c r="S31" i="11"/>
  <c r="P31" i="11"/>
  <c r="E31" i="11"/>
  <c r="R31" i="11"/>
  <c r="AB31" i="11"/>
  <c r="Q31" i="11"/>
  <c r="AE31" i="11"/>
  <c r="L31" i="11"/>
  <c r="F31" i="11"/>
  <c r="X31" i="11"/>
  <c r="N31" i="11"/>
  <c r="G31" i="11"/>
  <c r="AC31" i="11"/>
  <c r="H31" i="11"/>
  <c r="T31" i="11"/>
  <c r="AF31" i="11"/>
</calcChain>
</file>

<file path=xl/comments1.xml><?xml version="1.0" encoding="utf-8"?>
<comments xmlns="http://schemas.openxmlformats.org/spreadsheetml/2006/main">
  <authors>
    <author>Melissa Chin</author>
    <author>Javin Tan</author>
  </authors>
  <commentList>
    <comment ref="B23" authorId="0" shapeId="0">
      <text>
        <r>
          <rPr>
            <sz val="9"/>
            <color indexed="81"/>
            <rFont val="Tahoma"/>
            <family val="2"/>
          </rPr>
          <t>Les utilisateurs doivent inclure une estimation des superficies défrichées pour les routes, les fossés et le complexe de l'usine (y compris les installations de traitement des effluents)  proportionnellement à  la superficie totale plantée dans la concession.Veuillez fournir des données pour une telle estimation pour la vérification.
Veuillez noter que les terres défrichées pour les équipements sociaux (par exemple le logement des travailleurs, les loisirs du personnel, les écoles, les cliniques, les installations religieuses, etc.) sont exclus de cette estimation.
**En l'absence d'estimations appropriées, RSPO recommande l'utilisation de 5,5%.</t>
        </r>
      </text>
    </comment>
    <comment ref="G26" authorId="1" shapeId="0">
      <text>
        <r>
          <rPr>
            <sz val="9"/>
            <color indexed="81"/>
            <rFont val="Tahoma"/>
            <family val="2"/>
          </rPr>
          <t>= tCO2e/yr (superficie plantée) + (5.5/100 * tCO2e/yr (superficie plantée)</t>
        </r>
      </text>
    </comment>
    <comment ref="G43" authorId="1" shapeId="0">
      <text>
        <r>
          <rPr>
            <sz val="9"/>
            <color indexed="81"/>
            <rFont val="Tahoma"/>
            <family val="2"/>
          </rPr>
          <t>= tCO2e/yr (superficie plantée) + (5.5/100 * tCO2e/yr (superficie plantée))</t>
        </r>
      </text>
    </comment>
  </commentList>
</comments>
</file>

<file path=xl/comments2.xml><?xml version="1.0" encoding="utf-8"?>
<comments xmlns="http://schemas.openxmlformats.org/spreadsheetml/2006/main">
  <authors>
    <author>Melissa Chin</author>
  </authors>
  <commentList>
    <comment ref="F7" authorId="0" shapeId="0">
      <text>
        <r>
          <rPr>
            <sz val="9"/>
            <color indexed="81"/>
            <rFont val="Tahoma"/>
            <family val="2"/>
          </rPr>
          <t xml:space="preserve">Ajouter le facteur d'émission correspondant au mélange et au type de biodiesel
</t>
        </r>
      </text>
    </comment>
    <comment ref="F8" authorId="0" shapeId="0">
      <text>
        <r>
          <rPr>
            <sz val="9"/>
            <color indexed="81"/>
            <rFont val="Tahoma"/>
            <family val="2"/>
          </rPr>
          <t xml:space="preserve">Ajouter le facteur d'émission correspondant au mélange et au type de bioethanol </t>
        </r>
      </text>
    </comment>
  </commentList>
</comments>
</file>

<file path=xl/comments3.xml><?xml version="1.0" encoding="utf-8"?>
<comments xmlns="http://schemas.openxmlformats.org/spreadsheetml/2006/main">
  <authors>
    <author>CB</author>
  </authors>
  <commentList>
    <comment ref="I13" authorId="0" shapeId="0">
      <text>
        <r>
          <rPr>
            <sz val="8"/>
            <color indexed="81"/>
            <rFont val="Tahoma"/>
            <family val="2"/>
          </rPr>
          <t>AVERTISSEMENT: vous avez sélectionné plus d'une source pour ce nutriment!</t>
        </r>
      </text>
    </comment>
    <comment ref="I44" authorId="0" shapeId="0">
      <text>
        <r>
          <rPr>
            <sz val="8"/>
            <color indexed="81"/>
            <rFont val="Tahoma"/>
            <family val="2"/>
          </rPr>
          <t>AVERTISSEMENT: vous avez sélectionné plus d'une source pour ce nutriment!</t>
        </r>
      </text>
    </comment>
    <comment ref="I70" authorId="0" shapeId="0">
      <text>
        <r>
          <rPr>
            <sz val="8"/>
            <color indexed="81"/>
            <rFont val="Tahoma"/>
            <family val="2"/>
          </rPr>
          <t>AVERTISSEMENT: vous avez sélectionné plus d'une source pour ce nutriment!</t>
        </r>
      </text>
    </comment>
    <comment ref="I96" authorId="0" shapeId="0">
      <text>
        <r>
          <rPr>
            <sz val="8"/>
            <color indexed="81"/>
            <rFont val="Tahoma"/>
            <family val="2"/>
          </rPr>
          <t>AVERTISSEMENT: vous avez sélectionné plus d'une source pour ce nutriment!</t>
        </r>
      </text>
    </comment>
    <comment ref="I122" authorId="0" shapeId="0">
      <text>
        <r>
          <rPr>
            <sz val="8"/>
            <color indexed="81"/>
            <rFont val="Tahoma"/>
            <family val="2"/>
          </rPr>
          <t>AVERTISSEMENT: vous avez sélectionné plus d'une source pour ce nutriment!</t>
        </r>
      </text>
    </comment>
    <comment ref="I148" authorId="0" shapeId="0">
      <text>
        <r>
          <rPr>
            <sz val="8"/>
            <color indexed="81"/>
            <rFont val="Tahoma"/>
            <family val="2"/>
          </rPr>
          <t>AVERTISSEMENT: vous avez sélectionné plus d'une source pour ce nutriment!</t>
        </r>
      </text>
    </comment>
    <comment ref="I174" authorId="0" shapeId="0">
      <text>
        <r>
          <rPr>
            <sz val="8"/>
            <color indexed="81"/>
            <rFont val="Tahoma"/>
            <family val="2"/>
          </rPr>
          <t>AVERTISSEMENT: vous avez sélectionné plus d'une source pour ce nutriment!</t>
        </r>
      </text>
    </comment>
    <comment ref="I200" authorId="0" shapeId="0">
      <text>
        <r>
          <rPr>
            <sz val="8"/>
            <color indexed="81"/>
            <rFont val="Tahoma"/>
            <family val="2"/>
          </rPr>
          <t>AVERTISSEMENT: vous avez sélectionné plus d'une source pour ce nutriment!</t>
        </r>
      </text>
    </comment>
    <comment ref="I226" authorId="0" shapeId="0">
      <text>
        <r>
          <rPr>
            <sz val="8"/>
            <color indexed="81"/>
            <rFont val="Tahoma"/>
            <family val="2"/>
          </rPr>
          <t>AVERTISSEMENT: vous avez sélectionné plus d'une source pour ce nutriment!</t>
        </r>
      </text>
    </comment>
    <comment ref="I252" authorId="0" shapeId="0">
      <text>
        <r>
          <rPr>
            <sz val="8"/>
            <color indexed="81"/>
            <rFont val="Tahoma"/>
            <family val="2"/>
          </rPr>
          <t>AVERTISSEMENT: vous avez sélectionné plus d'une source pour ce nutriment!</t>
        </r>
      </text>
    </comment>
  </commentList>
</comments>
</file>

<file path=xl/comments4.xml><?xml version="1.0" encoding="utf-8"?>
<comments xmlns="http://schemas.openxmlformats.org/spreadsheetml/2006/main">
  <authors>
    <author xml:space="preserve"> lchase</author>
  </authors>
  <commentList>
    <comment ref="B8" authorId="0" shapeId="0">
      <text>
        <r>
          <rPr>
            <b/>
            <sz val="8"/>
            <color indexed="81"/>
            <rFont val="Tahoma"/>
            <family val="2"/>
          </rPr>
          <t>Distances pour le fret maritime peuvent être obtenus à partir du ref 19</t>
        </r>
      </text>
    </comment>
  </commentList>
</comments>
</file>

<file path=xl/comments5.xml><?xml version="1.0" encoding="utf-8"?>
<comments xmlns="http://schemas.openxmlformats.org/spreadsheetml/2006/main">
  <authors>
    <author>LDCChase</author>
    <author>Melissa Chin</author>
  </authors>
  <commentList>
    <comment ref="A14" authorId="0" shapeId="0">
      <text>
        <r>
          <rPr>
            <b/>
            <sz val="9"/>
            <color indexed="81"/>
            <rFont val="Tahoma"/>
            <family val="2"/>
          </rPr>
          <t>Carburant comprend l'essence et le diesel, mais comme la consommation d'essence est généralement mineure, les émissions de diesel sont utilisés pour les deux types de carburant</t>
        </r>
      </text>
    </comment>
    <comment ref="D14" authorId="0" shapeId="0">
      <text>
        <r>
          <rPr>
            <b/>
            <sz val="9"/>
            <color indexed="81"/>
            <rFont val="Tahoma"/>
            <family val="2"/>
          </rPr>
          <t>Carburant comprend l'essence et le diesel, mais comme la consommation d'essence est généralement mineure, les émissions de diesel sont utilisés pour les deux types de carburant</t>
        </r>
      </text>
    </comment>
    <comment ref="A15" authorId="0" shapeId="0">
      <text>
        <r>
          <rPr>
            <b/>
            <sz val="9"/>
            <color indexed="81"/>
            <rFont val="Tahoma"/>
            <family val="2"/>
          </rPr>
          <t>Carburant comprend l'essence et le diesel, mais comme la consommation d'essence est généralement mineure, les émissions de diesel sont utilisés pour les deux types de carburant</t>
        </r>
      </text>
    </comment>
    <comment ref="D15" authorId="0" shapeId="0">
      <text>
        <r>
          <rPr>
            <b/>
            <sz val="9"/>
            <color indexed="81"/>
            <rFont val="Tahoma"/>
            <family val="2"/>
          </rPr>
          <t>Carburant comprend l'essence et le diesel, mais comme la consommation d'essence est généralement mineure, les émissions de diesel sont utilisés pour les deux types de carburant</t>
        </r>
      </text>
    </comment>
    <comment ref="B40" authorId="0" shapeId="0">
      <text>
        <r>
          <rPr>
            <b/>
            <sz val="9"/>
            <color indexed="81"/>
            <rFont val="Tahoma"/>
            <family val="2"/>
          </rPr>
          <t>Le  message d'AVERTISSEMENTsignifie que les pourcentages ne totalisent pas 100</t>
        </r>
        <r>
          <rPr>
            <sz val="9"/>
            <color indexed="81"/>
            <rFont val="Tahoma"/>
            <family val="2"/>
          </rPr>
          <t xml:space="preserve">
</t>
        </r>
      </text>
    </comment>
    <comment ref="B79" authorId="1" shapeId="0">
      <text>
        <r>
          <rPr>
            <b/>
            <sz val="9"/>
            <color indexed="81"/>
            <rFont val="Tahoma"/>
            <family val="2"/>
          </rPr>
          <t>Le  message d'AVERTISSEMENTsignifie que les pourcentages ne totalisent pas 100</t>
        </r>
      </text>
    </comment>
  </commentList>
</comments>
</file>

<file path=xl/comments6.xml><?xml version="1.0" encoding="utf-8"?>
<comments xmlns="http://schemas.openxmlformats.org/spreadsheetml/2006/main">
  <authors>
    <author>Laurence</author>
    <author xml:space="preserve"> </author>
    <author>Melissa Chin</author>
    <author xml:space="preserve"> lchase</author>
    <author>LDCChase</author>
  </authors>
  <commentList>
    <comment ref="B6" authorId="0" shapeId="0">
      <text>
        <r>
          <rPr>
            <b/>
            <sz val="10"/>
            <color indexed="81"/>
            <rFont val="Tahoma"/>
            <family val="2"/>
          </rPr>
          <t>Ref 2</t>
        </r>
      </text>
    </comment>
    <comment ref="B7" authorId="1" shapeId="0">
      <text>
        <r>
          <rPr>
            <b/>
            <sz val="10"/>
            <color indexed="81"/>
            <rFont val="Tahoma"/>
            <family val="2"/>
          </rPr>
          <t xml:space="preserve"> Ref  2
</t>
        </r>
      </text>
    </comment>
    <comment ref="B8" authorId="2" shapeId="0">
      <text>
        <r>
          <rPr>
            <b/>
            <sz val="9"/>
            <color indexed="81"/>
            <rFont val="Tahoma"/>
            <family val="2"/>
          </rPr>
          <t>Ref 2</t>
        </r>
      </text>
    </comment>
    <comment ref="B9" authorId="1" shapeId="0">
      <text>
        <r>
          <rPr>
            <b/>
            <sz val="10"/>
            <color indexed="81"/>
            <rFont val="Tahoma"/>
            <family val="2"/>
          </rPr>
          <t>Ref 3</t>
        </r>
      </text>
    </comment>
    <comment ref="B10" authorId="1" shapeId="0">
      <text>
        <r>
          <rPr>
            <b/>
            <sz val="10"/>
            <color indexed="81"/>
            <rFont val="Tahoma"/>
            <family val="2"/>
          </rPr>
          <t>Ref 4</t>
        </r>
      </text>
    </comment>
    <comment ref="B11" authorId="1" shapeId="0">
      <text>
        <r>
          <rPr>
            <b/>
            <sz val="10"/>
            <color indexed="81"/>
            <rFont val="Tahoma"/>
            <family val="2"/>
          </rPr>
          <t>Ref 4</t>
        </r>
      </text>
    </comment>
    <comment ref="B12" authorId="1" shapeId="0">
      <text>
        <r>
          <rPr>
            <b/>
            <sz val="10"/>
            <color indexed="81"/>
            <rFont val="Tahoma"/>
            <family val="2"/>
          </rPr>
          <t>Ref 4</t>
        </r>
      </text>
    </comment>
    <comment ref="B13" authorId="3" shapeId="0">
      <text>
        <r>
          <rPr>
            <b/>
            <sz val="8"/>
            <color indexed="81"/>
            <rFont val="Tahoma"/>
            <family val="2"/>
          </rPr>
          <t>Ref 4</t>
        </r>
      </text>
    </comment>
    <comment ref="A14" authorId="1" shapeId="0">
      <text>
        <r>
          <rPr>
            <b/>
            <sz val="10"/>
            <color indexed="81"/>
            <rFont val="Tahoma"/>
            <family val="2"/>
          </rPr>
          <t>Suppose 2l diesel / km à 20t / voyage (Ref 1)</t>
        </r>
      </text>
    </comment>
    <comment ref="B19" authorId="1" shapeId="0">
      <text>
        <r>
          <rPr>
            <b/>
            <sz val="8"/>
            <color indexed="81"/>
            <rFont val="Tahoma"/>
            <family val="2"/>
          </rPr>
          <t xml:space="preserve"> </t>
        </r>
        <r>
          <rPr>
            <b/>
            <sz val="10"/>
            <color indexed="81"/>
            <rFont val="Tahoma"/>
            <family val="2"/>
          </rPr>
          <t>Ref 5</t>
        </r>
      </text>
    </comment>
    <comment ref="G19" authorId="4" shapeId="0">
      <text>
        <r>
          <rPr>
            <b/>
            <sz val="8"/>
            <color indexed="81"/>
            <rFont val="Calibri"/>
            <family val="2"/>
            <scheme val="minor"/>
          </rPr>
          <t>Moyenne de 62 valeurs avec CV = 26%, tiré de la base de données LUC révisé 18-9-2012, I. E. Henson comm
La forêt naturelle avec couvert dense; aucun signe de routes d'exploitation forestière</t>
        </r>
      </text>
    </comment>
    <comment ref="B20" authorId="1" shapeId="0">
      <text>
        <r>
          <rPr>
            <b/>
            <sz val="8"/>
            <color indexed="81"/>
            <rFont val="Tahoma"/>
            <family val="2"/>
          </rPr>
          <t>Ref 5</t>
        </r>
      </text>
    </comment>
    <comment ref="G20" authorId="1" shapeId="0">
      <text>
        <r>
          <rPr>
            <b/>
            <sz val="8"/>
            <color indexed="81"/>
            <rFont val="Tahoma"/>
            <family val="2"/>
          </rPr>
          <t>Ref 25, la superficie forestière naturelle avec des routes d'exploitation forestière et les clairières.</t>
        </r>
      </text>
    </comment>
    <comment ref="B21" authorId="1" shapeId="0">
      <text>
        <r>
          <rPr>
            <b/>
            <sz val="10"/>
            <color indexed="81"/>
            <rFont val="Tahoma"/>
            <family val="2"/>
          </rPr>
          <t>Ref 1</t>
        </r>
      </text>
    </comment>
    <comment ref="G21" authorId="1" shapeId="0">
      <text>
        <r>
          <rPr>
            <b/>
            <sz val="8"/>
            <color indexed="81"/>
            <rFont val="Tahoma"/>
            <family val="2"/>
          </rPr>
          <t>Ref 17
Présence de petits arbres et arbustes</t>
        </r>
      </text>
    </comment>
    <comment ref="B22" authorId="1" shapeId="0">
      <text>
        <r>
          <rPr>
            <b/>
            <sz val="10"/>
            <color indexed="81"/>
            <rFont val="Tahoma"/>
            <family val="2"/>
          </rPr>
          <t>Ref 6</t>
        </r>
      </text>
    </comment>
    <comment ref="G22" authorId="1" shapeId="0">
      <text>
        <r>
          <rPr>
            <b/>
            <sz val="8"/>
            <color indexed="81"/>
            <rFont val="Tahoma"/>
            <family val="2"/>
          </rPr>
          <t>Ref 9, Dominée par les graminées</t>
        </r>
      </text>
    </comment>
    <comment ref="B23" authorId="1" shapeId="0">
      <text>
        <r>
          <rPr>
            <b/>
            <sz val="8"/>
            <color indexed="81"/>
            <rFont val="Tahoma"/>
            <family val="2"/>
          </rPr>
          <t xml:space="preserve"> </t>
        </r>
        <r>
          <rPr>
            <b/>
            <sz val="10"/>
            <color indexed="81"/>
            <rFont val="Tahoma"/>
            <family val="2"/>
          </rPr>
          <t>Ref 12</t>
        </r>
      </text>
    </comment>
    <comment ref="G23" authorId="3" shapeId="0">
      <text>
        <r>
          <rPr>
            <b/>
            <sz val="8"/>
            <color indexed="81"/>
            <rFont val="Tahoma"/>
            <family val="2"/>
          </rPr>
          <t>Ref 17, 81, 27, 28 &amp; 29
Cela comprendrait des cultures telles que le caoutchouc, noix de coco, le cacao sous ombrage, plantations d'acacia mangium et les systèmes agroforestiers.</t>
        </r>
      </text>
    </comment>
    <comment ref="B24" authorId="1" shapeId="0">
      <text>
        <r>
          <rPr>
            <b/>
            <sz val="10"/>
            <color indexed="81"/>
            <rFont val="Tahoma"/>
            <family val="2"/>
          </rPr>
          <t>Ref 12</t>
        </r>
      </text>
    </comment>
    <comment ref="G24" authorId="3" shapeId="0">
      <text>
        <r>
          <rPr>
            <b/>
            <sz val="8"/>
            <color indexed="81"/>
            <rFont val="Tahoma"/>
            <family val="2"/>
          </rPr>
          <t>Ref 21 Moyenne des cultures annuelles (5,0) et des cultures pérennes (12,0) en PNG
Espace ouvert, généralement géré de façon intensive pour les cultures sarclées annuelles telles que le maïs, l'ananas, le manioc, la banane et le riz.</t>
        </r>
      </text>
    </comment>
    <comment ref="B25" authorId="1" shapeId="0">
      <text>
        <r>
          <rPr>
            <b/>
            <sz val="10"/>
            <color indexed="81"/>
            <rFont val="Tahoma"/>
            <family val="2"/>
          </rPr>
          <t>Ref 13</t>
        </r>
      </text>
    </comment>
    <comment ref="B26" authorId="1" shapeId="0">
      <text>
        <r>
          <rPr>
            <b/>
            <sz val="10"/>
            <color indexed="81"/>
            <rFont val="Tahoma"/>
            <family val="2"/>
          </rPr>
          <t>Ref 12</t>
        </r>
      </text>
    </comment>
    <comment ref="B27" authorId="1" shapeId="0">
      <text>
        <r>
          <rPr>
            <b/>
            <sz val="10"/>
            <color indexed="81"/>
            <rFont val="Tahoma"/>
            <family val="2"/>
          </rPr>
          <t>Ref 12</t>
        </r>
      </text>
    </comment>
    <comment ref="B28" authorId="1" shapeId="0">
      <text>
        <r>
          <rPr>
            <b/>
            <sz val="10"/>
            <color indexed="81"/>
            <rFont val="Tahoma"/>
            <family val="2"/>
          </rPr>
          <t xml:space="preserve">Adapté de Référence 2 (supposé être le même que le gaz naturel de l'UE-mix)
</t>
        </r>
      </text>
    </comment>
    <comment ref="B29" authorId="3" shapeId="0">
      <text>
        <r>
          <rPr>
            <b/>
            <sz val="8"/>
            <color indexed="81"/>
            <rFont val="Tahoma"/>
            <family val="2"/>
          </rPr>
          <t>Ref 20</t>
        </r>
      </text>
    </comment>
    <comment ref="B30" authorId="1" shapeId="0">
      <text>
        <r>
          <rPr>
            <b/>
            <sz val="10"/>
            <color indexed="81"/>
            <rFont val="Tahoma"/>
            <family val="2"/>
          </rPr>
          <t>Ref 14. Moyenne pour l'Indonésie et la Malaisie</t>
        </r>
      </text>
    </comment>
    <comment ref="B31" authorId="4" shapeId="0">
      <text>
        <r>
          <rPr>
            <b/>
            <sz val="9"/>
            <color indexed="81"/>
            <rFont val="Tahoma"/>
            <family val="2"/>
          </rPr>
          <t xml:space="preserve">Ref 30
</t>
        </r>
      </text>
    </comment>
    <comment ref="B32" authorId="4" shapeId="0">
      <text>
        <r>
          <rPr>
            <b/>
            <sz val="9"/>
            <color indexed="81"/>
            <rFont val="Tahoma"/>
            <family val="2"/>
          </rPr>
          <t>Ref 30</t>
        </r>
      </text>
    </comment>
    <comment ref="B33" authorId="4" shapeId="0">
      <text>
        <r>
          <rPr>
            <b/>
            <sz val="9"/>
            <color indexed="81"/>
            <rFont val="Tahoma"/>
            <family val="2"/>
          </rPr>
          <t>Ref 30</t>
        </r>
      </text>
    </comment>
    <comment ref="B34" authorId="4" shapeId="0">
      <text>
        <r>
          <rPr>
            <b/>
            <sz val="9"/>
            <color indexed="81"/>
            <rFont val="Tahoma"/>
            <family val="2"/>
          </rPr>
          <t>Ref 1</t>
        </r>
      </text>
    </comment>
    <comment ref="B35" authorId="4" shapeId="0">
      <text>
        <r>
          <rPr>
            <b/>
            <sz val="9"/>
            <color indexed="81"/>
            <rFont val="Tahoma"/>
            <family val="2"/>
          </rPr>
          <t>Ref 31</t>
        </r>
      </text>
    </comment>
    <comment ref="B36" authorId="4" shapeId="0">
      <text>
        <r>
          <rPr>
            <b/>
            <sz val="9"/>
            <color indexed="81"/>
            <rFont val="Tahoma"/>
            <family val="2"/>
          </rPr>
          <t>Ref 31</t>
        </r>
      </text>
    </comment>
    <comment ref="B37" authorId="4" shapeId="0">
      <text>
        <r>
          <rPr>
            <b/>
            <sz val="9"/>
            <color indexed="81"/>
            <rFont val="Tahoma"/>
            <family val="2"/>
          </rPr>
          <t>Ref 31</t>
        </r>
      </text>
    </comment>
    <comment ref="F40" authorId="3" shapeId="0">
      <text>
        <r>
          <rPr>
            <b/>
            <sz val="8"/>
            <color indexed="81"/>
            <rFont val="Tahoma"/>
            <family val="2"/>
          </rPr>
          <t>Adapté de la Ref 8 (supposé être le même que SOA)</t>
        </r>
      </text>
    </comment>
    <comment ref="G40" authorId="1" shapeId="0">
      <text>
        <r>
          <rPr>
            <b/>
            <sz val="10"/>
            <color indexed="81"/>
            <rFont val="Tahoma"/>
            <family val="2"/>
          </rPr>
          <t>Ref 7</t>
        </r>
      </text>
    </comment>
    <comment ref="F41" authorId="3" shapeId="0">
      <text>
        <r>
          <rPr>
            <b/>
            <sz val="8"/>
            <color indexed="81"/>
            <rFont val="Tahoma"/>
            <family val="2"/>
          </rPr>
          <t>Adapté du Ref 8</t>
        </r>
        <r>
          <rPr>
            <sz val="8"/>
            <color indexed="81"/>
            <rFont val="Tahoma"/>
            <family val="2"/>
          </rPr>
          <t xml:space="preserve">
</t>
        </r>
      </text>
    </comment>
    <comment ref="G41" authorId="1" shapeId="0">
      <text>
        <r>
          <rPr>
            <b/>
            <sz val="10"/>
            <color indexed="81"/>
            <rFont val="Tahoma"/>
            <family val="2"/>
          </rPr>
          <t>Ref 7</t>
        </r>
        <r>
          <rPr>
            <b/>
            <sz val="8"/>
            <color indexed="81"/>
            <rFont val="Tahoma"/>
            <family val="2"/>
          </rPr>
          <t xml:space="preserve">
</t>
        </r>
      </text>
    </comment>
    <comment ref="F42" authorId="3" shapeId="0">
      <text>
        <r>
          <rPr>
            <b/>
            <sz val="8"/>
            <color indexed="81"/>
            <rFont val="Tahoma"/>
            <family val="2"/>
          </rPr>
          <t>Adapté de la Ref 8 (supposé être le même que SOA)</t>
        </r>
        <r>
          <rPr>
            <sz val="8"/>
            <color indexed="81"/>
            <rFont val="Tahoma"/>
            <family val="2"/>
          </rPr>
          <t xml:space="preserve">
</t>
        </r>
      </text>
    </comment>
    <comment ref="G42" authorId="1" shapeId="0">
      <text>
        <r>
          <rPr>
            <b/>
            <sz val="10"/>
            <color indexed="81"/>
            <rFont val="Tahoma"/>
            <family val="2"/>
          </rPr>
          <t>Ref 7</t>
        </r>
      </text>
    </comment>
    <comment ref="F43" authorId="3" shapeId="0">
      <text>
        <r>
          <rPr>
            <b/>
            <sz val="11"/>
            <color indexed="81"/>
            <rFont val="Calibri"/>
            <family val="2"/>
            <scheme val="minor"/>
          </rPr>
          <t xml:space="preserve">Adapté du Ref 8
</t>
        </r>
      </text>
    </comment>
    <comment ref="G43" authorId="1" shapeId="0">
      <text>
        <r>
          <rPr>
            <b/>
            <sz val="10"/>
            <color indexed="81"/>
            <rFont val="Tahoma"/>
            <family val="2"/>
          </rPr>
          <t>Ref 7</t>
        </r>
      </text>
    </comment>
    <comment ref="F44" authorId="4" shapeId="0">
      <text>
        <r>
          <rPr>
            <b/>
            <sz val="9"/>
            <color indexed="81"/>
            <rFont val="Tahoma"/>
            <family val="2"/>
          </rPr>
          <t>Adapté de la Ref 8 (supposé être le même que SOA)</t>
        </r>
      </text>
    </comment>
    <comment ref="G44" authorId="4" shapeId="0">
      <text>
        <r>
          <rPr>
            <b/>
            <sz val="9"/>
            <color indexed="81"/>
            <rFont val="Tahoma"/>
            <family val="2"/>
          </rPr>
          <t>Ref 22</t>
        </r>
      </text>
    </comment>
    <comment ref="G45" authorId="1" shapeId="0">
      <text>
        <r>
          <rPr>
            <b/>
            <sz val="10"/>
            <color indexed="81"/>
            <rFont val="Tahoma"/>
            <family val="2"/>
          </rPr>
          <t>Ref 7 (supposé être le même que MOP)</t>
        </r>
      </text>
    </comment>
    <comment ref="G46" authorId="1" shapeId="0">
      <text>
        <r>
          <rPr>
            <b/>
            <sz val="10"/>
            <color indexed="81"/>
            <rFont val="Tahoma"/>
            <family val="2"/>
          </rPr>
          <t>Ref 7</t>
        </r>
      </text>
    </comment>
    <comment ref="G47" authorId="1" shapeId="0">
      <text>
        <r>
          <rPr>
            <b/>
            <sz val="10"/>
            <color indexed="81"/>
            <rFont val="Tahoma"/>
            <family val="2"/>
          </rPr>
          <t>Ref 7</t>
        </r>
      </text>
    </comment>
    <comment ref="G48" authorId="3" shapeId="0">
      <text>
        <r>
          <rPr>
            <b/>
            <sz val="10"/>
            <color indexed="81"/>
            <rFont val="Tahoma"/>
            <family val="2"/>
          </rPr>
          <t>Ref 7</t>
        </r>
      </text>
    </comment>
    <comment ref="G49" authorId="3" shapeId="0">
      <text>
        <r>
          <rPr>
            <b/>
            <sz val="10"/>
            <color indexed="81"/>
            <rFont val="Tahoma"/>
            <family val="2"/>
          </rPr>
          <t>Ref 1 (adapté de la réf 7)</t>
        </r>
      </text>
    </comment>
    <comment ref="B60" authorId="1" shapeId="0">
      <text>
        <r>
          <rPr>
            <b/>
            <sz val="10"/>
            <color indexed="81"/>
            <rFont val="Tahoma"/>
            <family val="2"/>
          </rPr>
          <t>Ref 6</t>
        </r>
      </text>
    </comment>
    <comment ref="F60" authorId="3" shapeId="0">
      <text>
        <r>
          <rPr>
            <b/>
            <sz val="8"/>
            <color indexed="81"/>
            <rFont val="Tahoma"/>
            <family val="2"/>
          </rPr>
          <t>Ref 4, bien que susceptible d'être trop élevé comme valeur par défaut, comprend des engrais organiques et des déchets animaux</t>
        </r>
      </text>
    </comment>
    <comment ref="B61" authorId="1" shapeId="0">
      <text>
        <r>
          <rPr>
            <b/>
            <sz val="10"/>
            <color indexed="81"/>
            <rFont val="Tahoma"/>
            <family val="2"/>
          </rPr>
          <t>Ref 6</t>
        </r>
      </text>
    </comment>
    <comment ref="F61" authorId="3" shapeId="0">
      <text>
        <r>
          <rPr>
            <b/>
            <sz val="8"/>
            <color indexed="81"/>
            <rFont val="Tahoma"/>
            <family val="2"/>
          </rPr>
          <t>Ref 4, bien que susceptible d'être trop élevé comme valeur par défaut, comprend des engrais organiques et des déchets animaux</t>
        </r>
      </text>
    </comment>
    <comment ref="B62" authorId="1" shapeId="0">
      <text>
        <r>
          <rPr>
            <b/>
            <sz val="10"/>
            <color indexed="81"/>
            <rFont val="Tahoma"/>
            <family val="2"/>
          </rPr>
          <t>Ref 4</t>
        </r>
      </text>
    </comment>
  </commentList>
</comments>
</file>

<file path=xl/sharedStrings.xml><?xml version="1.0" encoding="utf-8"?>
<sst xmlns="http://schemas.openxmlformats.org/spreadsheetml/2006/main" count="1142" uniqueCount="522">
  <si>
    <t>Crop rotation length yrs</t>
  </si>
  <si>
    <t>Total</t>
  </si>
  <si>
    <t>SOA</t>
  </si>
  <si>
    <t>Urea</t>
  </si>
  <si>
    <t>GRP</t>
  </si>
  <si>
    <t>MOP</t>
  </si>
  <si>
    <t>AN</t>
  </si>
  <si>
    <t>DAP</t>
  </si>
  <si>
    <t>EFB</t>
  </si>
  <si>
    <t>N2O</t>
  </si>
  <si>
    <t>POME</t>
  </si>
  <si>
    <t>%N</t>
  </si>
  <si>
    <t>Chase L.D.C and Henson I.E. (2010) A detailed greenhouse gas budget for palm oil production. International Journal for Agricultural Sustainability 8 (3) 199-214.</t>
  </si>
  <si>
    <t>IPCC (2007). Fourth Assessment Report. Climate Change 2007 - Synthesis Report. WMO/UNEP. http://www.ipcc.ch/ipccreports/ar4-syr.htm.</t>
  </si>
  <si>
    <t>IPCC (2006). Guidelines for National Greenhouse Gas Inventories. Vol 4 Agriculture, Forestry and Other Land Use. WMO/UNEP. http://www.ipcc-nggip.iges.or.jp/public/2006gl/index.html.</t>
  </si>
  <si>
    <t>Yacob S., Mohd. Hassan A., Shirai Y., Wakisaka M. and Subash S. (2006). Baseline study of methane emission from anaerobic ponds of palm oil mill effluent treatment. Science of the Total Environment, 366, 187-196</t>
  </si>
  <si>
    <t>Gurmit S. (1995). Management and utilisation of oil palm by-products. The Planter, 71, 361-386.</t>
  </si>
  <si>
    <t>Jensson T.K. and Kongshaug G. (2003). Energy consumption and greenhouse gas emissions in fertiliser production. Proceedings No 509, International Fertiliser Society, York, UK 28pp.</t>
  </si>
  <si>
    <t>Henson I.E. (2009). Modelling carbon sequestration and greenhouse gas emissions associated with oil palm cultivation and land-use change in Malaysia. A re-evaluation and a computer model. MPOB Technology, 31, 116 pp.</t>
  </si>
  <si>
    <t>ha peat</t>
  </si>
  <si>
    <t>Abbreviations</t>
  </si>
  <si>
    <t>oer</t>
  </si>
  <si>
    <t>ker</t>
  </si>
  <si>
    <t>CPO</t>
  </si>
  <si>
    <t>PK</t>
  </si>
  <si>
    <t>GHG</t>
  </si>
  <si>
    <t>GWP</t>
  </si>
  <si>
    <t>FFB</t>
  </si>
  <si>
    <t>Kieserite</t>
  </si>
  <si>
    <t>Outgrowers</t>
  </si>
  <si>
    <t>Schmidt J.H. (2007) Life cycle assessment of rapeseed oil and palm oil Part 3 275 pp. PhD Thesis. Denmark: Aalborg University.</t>
  </si>
  <si>
    <t>Environment Agency (2002) Guidance on Landfill Gas Flaring. Bristol: Environment Agency.</t>
  </si>
  <si>
    <t>Calendar year</t>
  </si>
  <si>
    <t>RSPO</t>
  </si>
  <si>
    <t>H&amp;C</t>
  </si>
  <si>
    <t>RFA (2008) Carbon and Sustainability Reporting Within the Renewable Transport Fuel Obligation. Technical Guidance Part 2 Carbon Reporting – Default Values and Fuel Chains. London: Renewable Fuels Agency. http://www.renewablefuelsagency.org/_db/_documents/RFA_C&amp;S_Technical_Guidance_Part_2_v1_200809194658.pdf</t>
  </si>
  <si>
    <t>TSP</t>
  </si>
  <si>
    <t>GML</t>
  </si>
  <si>
    <r>
      <t>GWP of CH</t>
    </r>
    <r>
      <rPr>
        <vertAlign val="subscript"/>
        <sz val="11"/>
        <color indexed="8"/>
        <rFont val="Calibri"/>
        <family val="2"/>
      </rPr>
      <t>4</t>
    </r>
    <r>
      <rPr>
        <sz val="11"/>
        <color indexed="8"/>
        <rFont val="Calibri"/>
        <family val="2"/>
      </rPr>
      <t xml:space="preserve"> kgCO</t>
    </r>
    <r>
      <rPr>
        <vertAlign val="subscript"/>
        <sz val="11"/>
        <color indexed="8"/>
        <rFont val="Calibri"/>
        <family val="2"/>
      </rPr>
      <t>2</t>
    </r>
    <r>
      <rPr>
        <sz val="11"/>
        <color indexed="8"/>
        <rFont val="Calibri"/>
        <family val="2"/>
      </rPr>
      <t>e/kg CH</t>
    </r>
    <r>
      <rPr>
        <vertAlign val="subscript"/>
        <sz val="11"/>
        <color indexed="8"/>
        <rFont val="Calibri"/>
        <family val="2"/>
      </rPr>
      <t>4</t>
    </r>
  </si>
  <si>
    <r>
      <t>kgCO</t>
    </r>
    <r>
      <rPr>
        <vertAlign val="subscript"/>
        <sz val="11"/>
        <color indexed="8"/>
        <rFont val="Calibri"/>
        <family val="2"/>
      </rPr>
      <t>2</t>
    </r>
    <r>
      <rPr>
        <sz val="11"/>
        <color indexed="8"/>
        <rFont val="Calibri"/>
        <family val="2"/>
      </rPr>
      <t>e/t</t>
    </r>
  </si>
  <si>
    <r>
      <t>kgCO</t>
    </r>
    <r>
      <rPr>
        <vertAlign val="subscript"/>
        <sz val="11"/>
        <color indexed="8"/>
        <rFont val="Calibri"/>
        <family val="2"/>
      </rPr>
      <t>2</t>
    </r>
    <r>
      <rPr>
        <sz val="11"/>
        <color theme="1"/>
        <rFont val="Calibri"/>
        <family val="2"/>
        <scheme val="minor"/>
      </rPr>
      <t>e/t</t>
    </r>
  </si>
  <si>
    <r>
      <t>Fertiliser tCO</t>
    </r>
    <r>
      <rPr>
        <vertAlign val="subscript"/>
        <sz val="11"/>
        <color indexed="8"/>
        <rFont val="Calibri"/>
        <family val="2"/>
      </rPr>
      <t>2</t>
    </r>
    <r>
      <rPr>
        <sz val="11"/>
        <color indexed="8"/>
        <rFont val="Calibri"/>
        <family val="2"/>
      </rPr>
      <t>e/ha</t>
    </r>
  </si>
  <si>
    <r>
      <t>EFB tCO</t>
    </r>
    <r>
      <rPr>
        <vertAlign val="subscript"/>
        <sz val="11"/>
        <color indexed="8"/>
        <rFont val="Calibri"/>
        <family val="2"/>
      </rPr>
      <t>2</t>
    </r>
    <r>
      <rPr>
        <sz val="11"/>
        <color indexed="8"/>
        <rFont val="Calibri"/>
        <family val="2"/>
      </rPr>
      <t>e/ha</t>
    </r>
  </si>
  <si>
    <r>
      <t>POME tCO</t>
    </r>
    <r>
      <rPr>
        <vertAlign val="subscript"/>
        <sz val="11"/>
        <color indexed="8"/>
        <rFont val="Calibri"/>
        <family val="2"/>
      </rPr>
      <t>2</t>
    </r>
    <r>
      <rPr>
        <sz val="11"/>
        <color indexed="8"/>
        <rFont val="Calibri"/>
        <family val="2"/>
      </rPr>
      <t>e/ha</t>
    </r>
  </si>
  <si>
    <r>
      <t>Total N</t>
    </r>
    <r>
      <rPr>
        <vertAlign val="subscript"/>
        <sz val="11"/>
        <color indexed="8"/>
        <rFont val="Calibri"/>
        <family val="2"/>
      </rPr>
      <t>2</t>
    </r>
    <r>
      <rPr>
        <sz val="11"/>
        <color indexed="8"/>
        <rFont val="Calibri"/>
        <family val="2"/>
      </rPr>
      <t>O tCO2e/ha</t>
    </r>
  </si>
  <si>
    <r>
      <t>CO</t>
    </r>
    <r>
      <rPr>
        <b/>
        <vertAlign val="subscript"/>
        <sz val="11"/>
        <rFont val="Calibri"/>
        <family val="2"/>
      </rPr>
      <t>2</t>
    </r>
    <r>
      <rPr>
        <b/>
        <sz val="11"/>
        <rFont val="Calibri"/>
        <family val="2"/>
      </rPr>
      <t>e</t>
    </r>
  </si>
  <si>
    <r>
      <t>Diesel kg CO</t>
    </r>
    <r>
      <rPr>
        <vertAlign val="subscript"/>
        <sz val="11"/>
        <rFont val="Calibri"/>
        <family val="2"/>
      </rPr>
      <t>2</t>
    </r>
    <r>
      <rPr>
        <sz val="11"/>
        <rFont val="Calibri"/>
        <family val="2"/>
      </rPr>
      <t>e/l</t>
    </r>
  </si>
  <si>
    <r>
      <t>GWP of N</t>
    </r>
    <r>
      <rPr>
        <vertAlign val="subscript"/>
        <sz val="11"/>
        <rFont val="Calibri"/>
        <family val="2"/>
      </rPr>
      <t>2</t>
    </r>
    <r>
      <rPr>
        <sz val="11"/>
        <rFont val="Calibri"/>
        <family val="2"/>
      </rPr>
      <t>O kgCO</t>
    </r>
    <r>
      <rPr>
        <vertAlign val="subscript"/>
        <sz val="11"/>
        <rFont val="Calibri"/>
        <family val="2"/>
      </rPr>
      <t>2</t>
    </r>
    <r>
      <rPr>
        <sz val="11"/>
        <rFont val="Calibri"/>
        <family val="2"/>
      </rPr>
      <t>e/kgN</t>
    </r>
    <r>
      <rPr>
        <vertAlign val="subscript"/>
        <sz val="11"/>
        <rFont val="Calibri"/>
        <family val="2"/>
      </rPr>
      <t>2</t>
    </r>
    <r>
      <rPr>
        <sz val="11"/>
        <rFont val="Calibri"/>
        <family val="2"/>
      </rPr>
      <t>O</t>
    </r>
  </si>
  <si>
    <t>Planting year</t>
  </si>
  <si>
    <r>
      <t>Total tCO</t>
    </r>
    <r>
      <rPr>
        <vertAlign val="subscript"/>
        <sz val="11"/>
        <color indexed="8"/>
        <rFont val="Calibri"/>
        <family val="2"/>
      </rPr>
      <t>2</t>
    </r>
    <r>
      <rPr>
        <sz val="11"/>
        <color indexed="8"/>
        <rFont val="Calibri"/>
        <family val="2"/>
      </rPr>
      <t>e/ha</t>
    </r>
  </si>
  <si>
    <t>%MgO</t>
  </si>
  <si>
    <t>%K2O</t>
  </si>
  <si>
    <t>%P2O5</t>
  </si>
  <si>
    <r>
      <t>Total tCO</t>
    </r>
    <r>
      <rPr>
        <vertAlign val="subscript"/>
        <sz val="11"/>
        <color indexed="8"/>
        <rFont val="Calibri"/>
        <family val="2"/>
      </rPr>
      <t>2</t>
    </r>
  </si>
  <si>
    <r>
      <t>tCO</t>
    </r>
    <r>
      <rPr>
        <vertAlign val="subscript"/>
        <sz val="11"/>
        <color indexed="8"/>
        <rFont val="Calibri"/>
        <family val="2"/>
      </rPr>
      <t>2</t>
    </r>
    <r>
      <rPr>
        <sz val="11"/>
        <color indexed="8"/>
        <rFont val="Calibri"/>
        <family val="2"/>
      </rPr>
      <t>/ha</t>
    </r>
  </si>
  <si>
    <r>
      <t>Emissions from peat tCO</t>
    </r>
    <r>
      <rPr>
        <vertAlign val="subscript"/>
        <sz val="11"/>
        <color indexed="8"/>
        <rFont val="Calibri"/>
        <family val="2"/>
      </rPr>
      <t>2</t>
    </r>
    <r>
      <rPr>
        <sz val="11"/>
        <color indexed="8"/>
        <rFont val="Calibri"/>
        <family val="2"/>
      </rPr>
      <t>/planting year</t>
    </r>
  </si>
  <si>
    <t>MacDicken K.G.(1997) A Guide to monitoring carbon storage in Forestry and Agroforestry projects. Winrock International Institute for International Development.</t>
  </si>
  <si>
    <t>Winrock (2010). N Harris, pers com. MODIS data 2000 to 2007</t>
  </si>
  <si>
    <t>Lasco R D, Sales R F, Estrella R, Saplaco S R, Castillo L S A, Cruz R V O and Pulhin F B. (2001). Carbon stocks assessment of two agroforestry systems in the Makiling Forest Reserve, Philippines. Philippine Agricultural Scientist, 84, 401-407.</t>
  </si>
  <si>
    <t>http://www.searates.com</t>
  </si>
  <si>
    <t>Outgrower fuel consumption l/yr</t>
  </si>
  <si>
    <t>Mila i Canals L (2011) pers comm</t>
  </si>
  <si>
    <t>PKO</t>
  </si>
  <si>
    <t>PKE</t>
  </si>
  <si>
    <t>seq</t>
  </si>
  <si>
    <t>JEC (2011). Well-to-wheels analysis of future automotive fuels and powertrains in the European context. Well-to-tank Report Version 3c, Appendix 1 and 2. CONCAWE, EUCAR and JRC. http://ies.jrc.ec.europa.eu/WTW.</t>
  </si>
  <si>
    <t>Triple superphosphate</t>
  </si>
  <si>
    <t xml:space="preserve">Caliman J.P., Carcasses R., Girardin P., Pujianto, Dubos B., and Liwang T. (2005) Development of agro-environmental indicators for sustainable management of oil palm growing: general concept and example of nitrogen. In: Proceedings of PIPOC 2005 International Palm Oil Congress, Agriculture, Biotechnology and Sustainability Conference, 413-432. Kuala Lumpur: Malaysian Palm Oil Board.   </t>
  </si>
  <si>
    <r>
      <t>N</t>
    </r>
    <r>
      <rPr>
        <vertAlign val="subscript"/>
        <sz val="11"/>
        <color theme="1"/>
        <rFont val="Calibri"/>
        <family val="2"/>
        <scheme val="minor"/>
      </rPr>
      <t>2</t>
    </r>
    <r>
      <rPr>
        <sz val="11"/>
        <color theme="1"/>
        <rFont val="Calibri"/>
        <family val="2"/>
        <scheme val="minor"/>
      </rPr>
      <t>O</t>
    </r>
  </si>
  <si>
    <r>
      <t>Diesel kg CO</t>
    </r>
    <r>
      <rPr>
        <vertAlign val="subscript"/>
        <sz val="11"/>
        <rFont val="Calibri"/>
        <family val="2"/>
        <scheme val="minor"/>
      </rPr>
      <t>2</t>
    </r>
    <r>
      <rPr>
        <sz val="11"/>
        <rFont val="Calibri"/>
        <family val="2"/>
        <scheme val="minor"/>
      </rPr>
      <t>e/l</t>
    </r>
  </si>
  <si>
    <t>http://www.biograce.net/</t>
  </si>
  <si>
    <t>European Union Commission (2009). Directive 2009/28/EC Draft Annex V. Draft Commission Decision (of 31 December 2009) on guidelines for the calculation of land carbon stocks for the purpose of Annex V of Directive 2009/28/EC. European Commission, Brussels. 26 p.</t>
  </si>
  <si>
    <t>AC</t>
  </si>
  <si>
    <t>Allocation:</t>
  </si>
  <si>
    <r>
      <t>Total tCO</t>
    </r>
    <r>
      <rPr>
        <vertAlign val="subscript"/>
        <sz val="11"/>
        <color indexed="8"/>
        <rFont val="Calibri"/>
        <family val="2"/>
      </rPr>
      <t>2</t>
    </r>
    <r>
      <rPr>
        <sz val="11"/>
        <color indexed="8"/>
        <rFont val="Calibri"/>
        <family val="2"/>
      </rPr>
      <t>e/yr</t>
    </r>
  </si>
  <si>
    <t>tCO2e</t>
  </si>
  <si>
    <t>Swiss Centre for Life Cycle Inventories (2010). Ecoinvent 2.2</t>
  </si>
  <si>
    <t>Hooijer A., S. Page, J. G. Canadell, M. Silvius, J. Kwadijk, H. Wosten, J. Jauhiainen (2010) Current and future CO2 emissions from drained peatlands in Southeast Asia. Biogeosciences Discuss., 7, 1505-1514</t>
  </si>
  <si>
    <t>RSPO PLWG (in press). Environmental and social impacts of oil palm cultivation on tropical peat – a scientific review. Final Version, May 2012.</t>
  </si>
  <si>
    <t>Page S.E, Morrison R, Malins C, Hooijer A, Rieley J.O., Jauhiainen J (2011) . Review of peat surface greenhouse gas emissions from oil palm plantations in Southeast Asia (ICCT white paper 15). Washington: International Council on Clean Transportation.</t>
  </si>
  <si>
    <t>Mokany, K., Raison, R.J., Prokushkin, A.S. (2005), Critical analysis of root:shoot ratios in terrestrial biomes.  Global Change Biology 12: 84-96.</t>
  </si>
  <si>
    <r>
      <t>Total N</t>
    </r>
    <r>
      <rPr>
        <vertAlign val="subscript"/>
        <sz val="11"/>
        <color indexed="8"/>
        <rFont val="Calibri"/>
        <family val="2"/>
      </rPr>
      <t>2</t>
    </r>
    <r>
      <rPr>
        <sz val="11"/>
        <color indexed="8"/>
        <rFont val="Calibri"/>
        <family val="2"/>
      </rPr>
      <t>O tCO2e/yr</t>
    </r>
  </si>
  <si>
    <t>Yew F K (2000). Impact of zero burning on biomass and nutrient turnover in rubber replanting. Paper presented at International Symposium on Sustainable Land Management. Sri Kembangan, Selangor, Malaysia.</t>
  </si>
  <si>
    <t>Yew F K and Mohd Nasaruddin (2002). Biomass and carbon sequestration determinations in rubber. Methodologies and case studies. Seminar on Climate Change and Carbon Accounting. Department of Standards, Malaysia and SIRIM Sdn Bhd, Shah Alam, Malaysia. 13 pp.</t>
  </si>
  <si>
    <t>Henson I.E. (2005a) OPRODSIM, a versatile, mechanistic simulation model of oil palm dry matter production and yield. In: Proceedings of PIPOC 2005 International Palm Oil Congress, Agriculture, Biotechnology and Sustainability Conference, 801-832. Kuala Lumpur: Malaysian Palm Oil Board.</t>
  </si>
  <si>
    <t>FW</t>
  </si>
  <si>
    <t>Pang J (2013) pers comm</t>
  </si>
  <si>
    <t>http://cdm.unfccc.int/methodologies/DB/4ND00PCGC7WXR3L0LOJTS6SVZP4NSU</t>
  </si>
  <si>
    <t>COD</t>
  </si>
  <si>
    <t xml:space="preserve">Diesel </t>
  </si>
  <si>
    <t>Petrol</t>
  </si>
  <si>
    <t xml:space="preserve">Total diesel </t>
  </si>
  <si>
    <t xml:space="preserve">Total petrol </t>
  </si>
  <si>
    <t>l/yr</t>
  </si>
  <si>
    <t>l/ha</t>
  </si>
  <si>
    <t>Diesel</t>
  </si>
  <si>
    <t>Outgrower consumption</t>
  </si>
  <si>
    <t xml:space="preserve">Agus, F., Henson, I.E., Sahardjo, B.H., Harris, N., van Noordwijk, M.&amp; Killeen, T.J. 2013a. Review of emission factors for assessment of CO2 emission from land use change to oil palm in Southeast Asia. In T.J. Killen &amp; J. Goon (eds). Reports from the Technical Panels of the Second RSPO GHG Working Groupp, Roundtable on Sustainable Palm Oil - RSPO, Kuala Lumpur. Increased by 20% to allow for root biomass as per Mokany, K., Raison, R.J., Prokushkin, A.S. (2005), Critical analysis of root: shoot ratios in terrestrial biomes. Global Change Biology 12: 84096. </t>
  </si>
  <si>
    <t>N from urea</t>
  </si>
  <si>
    <t>N from ammonium nitrate</t>
  </si>
  <si>
    <t>N from sulphate of ammonia</t>
  </si>
  <si>
    <t>N from ammonium chloride</t>
  </si>
  <si>
    <t>N from diammonium phosphate</t>
  </si>
  <si>
    <t>P2O5 from diammonium phosphate</t>
  </si>
  <si>
    <t>P2O5 from triple superphosphate</t>
  </si>
  <si>
    <t>K2O from muriate of potash or potassium chloride</t>
  </si>
  <si>
    <t>K2O from potassium sulphate</t>
  </si>
  <si>
    <t>% S</t>
  </si>
  <si>
    <t>kgCO2eq/kg</t>
  </si>
  <si>
    <t>Used parameters</t>
  </si>
  <si>
    <t>N from various N-fertilisers</t>
  </si>
  <si>
    <t>P2O5 from phosphate rock</t>
  </si>
  <si>
    <t>P2O5 from various P-fertilisers</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</si>
  <si>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</si>
  <si>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</si>
  <si>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</si>
  <si>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</si>
  <si>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</si>
  <si>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</si>
  <si>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</si>
  <si>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</si>
  <si>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t>tC/ha</t>
  </si>
  <si>
    <r>
      <t>Biodiesel kg CO</t>
    </r>
    <r>
      <rPr>
        <vertAlign val="subscript"/>
        <sz val="11"/>
        <rFont val="Calibri"/>
        <family val="2"/>
        <scheme val="minor"/>
      </rPr>
      <t>2</t>
    </r>
    <r>
      <rPr>
        <sz val="11"/>
        <rFont val="Calibri"/>
        <family val="2"/>
        <scheme val="minor"/>
      </rPr>
      <t>e/l</t>
    </r>
  </si>
  <si>
    <r>
      <t>Bioethanol kg CO</t>
    </r>
    <r>
      <rPr>
        <vertAlign val="subscript"/>
        <sz val="11"/>
        <rFont val="Calibri"/>
        <family val="2"/>
        <scheme val="minor"/>
      </rPr>
      <t>2</t>
    </r>
    <r>
      <rPr>
        <sz val="11"/>
        <rFont val="Calibri"/>
        <family val="2"/>
        <scheme val="minor"/>
      </rPr>
      <t>e/l</t>
    </r>
  </si>
  <si>
    <t>Biodiesel</t>
  </si>
  <si>
    <t>Bioethanol</t>
  </si>
  <si>
    <t>methane capture (electricity generation)</t>
  </si>
  <si>
    <t>User defined 3</t>
  </si>
  <si>
    <t>User defined 4</t>
  </si>
  <si>
    <t>User defined 5</t>
  </si>
  <si>
    <t>t/ha</t>
  </si>
  <si>
    <r>
      <t>CO</t>
    </r>
    <r>
      <rPr>
        <vertAlign val="subscript"/>
        <sz val="11"/>
        <color theme="1"/>
        <rFont val="Calibri"/>
        <family val="2"/>
        <scheme val="minor"/>
      </rPr>
      <t>2</t>
    </r>
  </si>
  <si>
    <r>
      <t>tCO</t>
    </r>
    <r>
      <rPr>
        <vertAlign val="subscript"/>
        <sz val="11"/>
        <color indexed="8"/>
        <rFont val="Calibri"/>
        <family val="2"/>
      </rPr>
      <t>2</t>
    </r>
    <r>
      <rPr>
        <sz val="11"/>
        <color theme="1"/>
        <rFont val="Calibri"/>
        <family val="2"/>
        <scheme val="minor"/>
      </rPr>
      <t>e/ha</t>
    </r>
  </si>
  <si>
    <r>
      <t>tCO</t>
    </r>
    <r>
      <rPr>
        <b/>
        <vertAlign val="subscript"/>
        <sz val="11"/>
        <color theme="1"/>
        <rFont val="Calibri"/>
        <family val="2"/>
        <scheme val="minor"/>
      </rPr>
      <t>2</t>
    </r>
    <r>
      <rPr>
        <b/>
        <sz val="11"/>
        <color theme="1"/>
        <rFont val="Calibri"/>
        <family val="2"/>
        <scheme val="minor"/>
      </rPr>
      <t>e/ha</t>
    </r>
  </si>
  <si>
    <r>
      <t>Total tCO</t>
    </r>
    <r>
      <rPr>
        <b/>
        <vertAlign val="subscript"/>
        <sz val="11"/>
        <color theme="1"/>
        <rFont val="Calibri"/>
        <family val="2"/>
        <scheme val="minor"/>
      </rPr>
      <t>2</t>
    </r>
    <r>
      <rPr>
        <b/>
        <sz val="11"/>
        <color theme="1"/>
        <rFont val="Calibri"/>
        <family val="2"/>
        <scheme val="minor"/>
      </rPr>
      <t>e</t>
    </r>
  </si>
  <si>
    <t>INTRODUCTION</t>
  </si>
  <si>
    <r>
      <t>t CO</t>
    </r>
    <r>
      <rPr>
        <vertAlign val="subscript"/>
        <sz val="11"/>
        <color theme="1"/>
        <rFont val="Calibri"/>
        <family val="2"/>
        <scheme val="minor"/>
      </rPr>
      <t>2</t>
    </r>
    <r>
      <rPr>
        <sz val="11"/>
        <color theme="1"/>
        <rFont val="Calibri"/>
        <family val="2"/>
        <scheme val="minor"/>
      </rPr>
      <t>e</t>
    </r>
  </si>
  <si>
    <r>
      <t>t CO</t>
    </r>
    <r>
      <rPr>
        <vertAlign val="subscript"/>
        <sz val="11"/>
        <color theme="1"/>
        <rFont val="Calibri"/>
        <family val="2"/>
        <scheme val="minor"/>
      </rPr>
      <t>2</t>
    </r>
    <r>
      <rPr>
        <sz val="11"/>
        <color theme="1"/>
        <rFont val="Calibri"/>
        <family val="2"/>
        <scheme val="minor"/>
      </rPr>
      <t>e/ha</t>
    </r>
  </si>
  <si>
    <r>
      <t>t CO</t>
    </r>
    <r>
      <rPr>
        <vertAlign val="subscript"/>
        <sz val="11"/>
        <color theme="1"/>
        <rFont val="Calibri"/>
        <family val="2"/>
        <scheme val="minor"/>
      </rPr>
      <t>2</t>
    </r>
    <r>
      <rPr>
        <sz val="11"/>
        <color theme="1"/>
        <rFont val="Calibri"/>
        <family val="2"/>
        <scheme val="minor"/>
      </rPr>
      <t>e/t FFB</t>
    </r>
  </si>
  <si>
    <r>
      <t>tCO</t>
    </r>
    <r>
      <rPr>
        <vertAlign val="subscript"/>
        <sz val="11"/>
        <rFont val="Calibri"/>
        <family val="2"/>
        <scheme val="minor"/>
      </rPr>
      <t>2</t>
    </r>
    <r>
      <rPr>
        <sz val="11"/>
        <rFont val="Calibri"/>
        <family val="2"/>
        <scheme val="minor"/>
      </rPr>
      <t>e</t>
    </r>
  </si>
  <si>
    <r>
      <t>tCO</t>
    </r>
    <r>
      <rPr>
        <vertAlign val="subscript"/>
        <sz val="11"/>
        <color theme="1"/>
        <rFont val="Calibri"/>
        <family val="2"/>
        <scheme val="minor"/>
      </rPr>
      <t>2</t>
    </r>
    <r>
      <rPr>
        <sz val="11"/>
        <color theme="1"/>
        <rFont val="Calibri"/>
        <family val="2"/>
        <scheme val="minor"/>
      </rPr>
      <t>e/tFFB</t>
    </r>
  </si>
  <si>
    <t xml:space="preserve">Total </t>
  </si>
  <si>
    <r>
      <t>t CO</t>
    </r>
    <r>
      <rPr>
        <vertAlign val="subscript"/>
        <sz val="11"/>
        <color theme="1"/>
        <rFont val="Calibri"/>
        <family val="2"/>
        <scheme val="minor"/>
      </rPr>
      <t>2</t>
    </r>
    <r>
      <rPr>
        <sz val="11"/>
        <color theme="1"/>
        <rFont val="Calibri"/>
        <family val="2"/>
        <scheme val="minor"/>
      </rPr>
      <t>e/t CPO</t>
    </r>
  </si>
  <si>
    <r>
      <t>t CO</t>
    </r>
    <r>
      <rPr>
        <vertAlign val="subscript"/>
        <sz val="11"/>
        <color theme="1"/>
        <rFont val="Calibri"/>
        <family val="2"/>
        <scheme val="minor"/>
      </rPr>
      <t>2</t>
    </r>
    <r>
      <rPr>
        <sz val="11"/>
        <color theme="1"/>
        <rFont val="Calibri"/>
        <family val="2"/>
        <scheme val="minor"/>
      </rPr>
      <t>e/t PK</t>
    </r>
  </si>
  <si>
    <t>Congo</t>
  </si>
  <si>
    <t>Costa Rica</t>
  </si>
  <si>
    <t>Côte d'Ivoire</t>
  </si>
  <si>
    <t>Gabon</t>
  </si>
  <si>
    <t>Ghana</t>
  </si>
  <si>
    <t>Guatemala</t>
  </si>
  <si>
    <t>Honduras</t>
  </si>
  <si>
    <t>Nigeria</t>
  </si>
  <si>
    <t>Emissions (kgCO2e/kWh)</t>
  </si>
  <si>
    <t>Eucalyptus</t>
  </si>
  <si>
    <t>Steppe</t>
  </si>
  <si>
    <t>User defined 6</t>
  </si>
  <si>
    <t>User defined 7</t>
  </si>
  <si>
    <t>User defined 8</t>
  </si>
  <si>
    <t>User defined 9</t>
  </si>
  <si>
    <t>User defined 10</t>
  </si>
  <si>
    <t>User defined 2</t>
  </si>
  <si>
    <t>Fertilisers &amp; N2O</t>
  </si>
  <si>
    <t xml:space="preserve">  </t>
  </si>
  <si>
    <r>
      <t xml:space="preserve">Henson I. E. (2005b). An assessment of changes in biomass carbon stocks in tree crops and forests in Malaysia. </t>
    </r>
    <r>
      <rPr>
        <i/>
        <sz val="11"/>
        <color theme="1"/>
        <rFont val="Calibri"/>
        <family val="2"/>
        <scheme val="minor"/>
      </rPr>
      <t>J. Tropical Forest Science, 17</t>
    </r>
    <r>
      <rPr>
        <sz val="11"/>
        <color theme="1"/>
        <rFont val="Calibri"/>
        <family val="2"/>
        <scheme val="minor"/>
      </rPr>
      <t>: 279-296.</t>
    </r>
  </si>
  <si>
    <t>Crude palm oil - Huile de palme brute</t>
  </si>
  <si>
    <t>Empty fruit bunches - Rafles</t>
  </si>
  <si>
    <t>Fresh fruit bunches - Regimes de fruits frais</t>
  </si>
  <si>
    <t>Fresh weight - poids frais</t>
  </si>
  <si>
    <t>Global warming potential -  Potentiel de réchauffement planétaire</t>
  </si>
  <si>
    <t>Harvesting and collection - Récolte et collecte</t>
  </si>
  <si>
    <t>Kernel extraction rate - Taux d'extraction de l'amande de palmiste</t>
  </si>
  <si>
    <t>Oil extraction rate -  Taux d'extraction d'huile</t>
  </si>
  <si>
    <t>Palm kernel - Amande de palmiste</t>
  </si>
  <si>
    <t>Palm kernel oil - Huile de palmiste</t>
  </si>
  <si>
    <t>Palm kernel expeller -  Tourteau de pression de palmiste</t>
  </si>
  <si>
    <t>Round Table on Sustainable Palm Oil - Table Ronde pour une Huile de Palme Durable</t>
  </si>
  <si>
    <t>Palm oil mill effluent -  Effluents d’usine</t>
  </si>
  <si>
    <t>Sequestration - Séquestration</t>
  </si>
  <si>
    <r>
      <t xml:space="preserve">Remarque: Le contenu des cellules dans les feuilles de calcul sont codés par couleur comme suit: 
</t>
    </r>
    <r>
      <rPr>
        <b/>
        <sz val="11"/>
        <color rgb="FFFF0000"/>
        <rFont val="Calibri"/>
        <family val="2"/>
        <scheme val="minor"/>
      </rPr>
      <t>Entrées de données - définies par l'utilisateur</t>
    </r>
    <r>
      <rPr>
        <b/>
        <sz val="11"/>
        <color theme="1"/>
        <rFont val="Calibri"/>
        <family val="2"/>
        <scheme val="minor"/>
      </rPr>
      <t xml:space="preserve">
</t>
    </r>
    <r>
      <rPr>
        <b/>
        <sz val="11"/>
        <color theme="5" tint="-0.249977111117893"/>
        <rFont val="Calibri"/>
        <family val="2"/>
        <scheme val="minor"/>
      </rPr>
      <t>Entrées de données - Valeurs par défaut</t>
    </r>
    <r>
      <rPr>
        <b/>
        <sz val="11"/>
        <color theme="1"/>
        <rFont val="Calibri"/>
        <family val="2"/>
        <scheme val="minor"/>
      </rPr>
      <t xml:space="preserve">
</t>
    </r>
    <r>
      <rPr>
        <b/>
        <sz val="11"/>
        <color rgb="FF00B050"/>
        <rFont val="Calibri"/>
        <family val="2"/>
        <scheme val="minor"/>
      </rPr>
      <t>Liens, calculs</t>
    </r>
    <r>
      <rPr>
        <i/>
        <sz val="11"/>
        <color theme="1"/>
        <rFont val="Calibri"/>
        <family val="2"/>
        <scheme val="minor"/>
      </rPr>
      <t xml:space="preserve">
Quelques feuilles de calcul et des cellules individuelles sont verrouillées afin d'empêcher les utilisateurs d'écraser accidentellement leurs contenus.</t>
    </r>
  </si>
  <si>
    <t>Greenhouse gases - Gaz a effet de serre (GES)</t>
  </si>
  <si>
    <t xml:space="preserve">Résumé des résultats </t>
  </si>
  <si>
    <t>Défrichement</t>
  </si>
  <si>
    <t>Engrais</t>
  </si>
  <si>
    <t>Carburant consommé sur le terrain</t>
  </si>
  <si>
    <t>Tourbe</t>
  </si>
  <si>
    <t>Crédit de conservation</t>
  </si>
  <si>
    <t>Séquestration de la cuture agricole</t>
  </si>
  <si>
    <t>Engrais &amp; N2O</t>
  </si>
  <si>
    <t>Résumé des résultats</t>
  </si>
  <si>
    <t>Emissions sur le terrain et  puits (en supposant une croissance moyenne du palmier à huile - utilisation par les petits exploitants)</t>
  </si>
  <si>
    <t>Emissions sur le terrain et  puits(en supposant une croissance vigoureuse du palmier à huile - utilisation par les opérations à grande échelle)</t>
  </si>
  <si>
    <t>Résumé (avec l'usine)</t>
  </si>
  <si>
    <t>Produit</t>
  </si>
  <si>
    <r>
      <t>tCO</t>
    </r>
    <r>
      <rPr>
        <vertAlign val="subscript"/>
        <sz val="11"/>
        <color theme="1"/>
        <rFont val="Calibri"/>
        <family val="2"/>
        <scheme val="minor"/>
      </rPr>
      <t>2</t>
    </r>
    <r>
      <rPr>
        <sz val="11"/>
        <color theme="1"/>
        <rFont val="Calibri"/>
        <family val="2"/>
        <scheme val="minor"/>
      </rPr>
      <t>e/t produit</t>
    </r>
  </si>
  <si>
    <t xml:space="preserve">Tourbe </t>
  </si>
  <si>
    <t>Emissions  usine &amp; crédit</t>
  </si>
  <si>
    <t>Effluents</t>
  </si>
  <si>
    <t>Carburant consommé par l'usine</t>
  </si>
  <si>
    <t xml:space="preserve"> Achats d'électricité </t>
  </si>
  <si>
    <t>Crédit (électricité excédentaire exportée)</t>
  </si>
  <si>
    <t>Crédit (vente de la biomasse pour l'énergie)</t>
  </si>
  <si>
    <t>Crédit (éléctricité&amp; biomasse)</t>
  </si>
  <si>
    <t>Carburant (usine &amp; terrain)</t>
  </si>
  <si>
    <r>
      <t>Emissions Totales, tCO</t>
    </r>
    <r>
      <rPr>
        <b/>
        <vertAlign val="subscript"/>
        <sz val="11"/>
        <color theme="1"/>
        <rFont val="Calibri"/>
        <family val="2"/>
        <scheme val="minor"/>
      </rPr>
      <t>2</t>
    </r>
    <r>
      <rPr>
        <b/>
        <sz val="11"/>
        <color theme="1"/>
        <rFont val="Calibri"/>
        <family val="2"/>
        <scheme val="minor"/>
      </rPr>
      <t>e (usine et terrain)</t>
    </r>
  </si>
  <si>
    <t>1.  Emissions provenant du Changement d'affectation de Terres</t>
  </si>
  <si>
    <t>Instructions: saisissez les zones qui doivent être défrichées pour les nouvelles plantations et le stock de carbone estimé de la couverture terrestre existante. Si le stock de carbone a été estimé de maniere indirecte en utilisant les valeurs par défaut fournies dans la procédure d'évaluation des GES, alors vous pouvez sélectionner la liste des valeurs par défaut fournies ci-dessous. Cependant, si des mesures de terrain ont été réalisées, veuillez définir le type de couverture terrestre et le stock de carbone correspondant (remplissez les cellules jaunes)</t>
  </si>
  <si>
    <t xml:space="preserve">Type de couverture terrestre antérieure </t>
  </si>
  <si>
    <t>Formation arbustive</t>
  </si>
  <si>
    <t>Prairie</t>
  </si>
  <si>
    <t>Culture d'arbres</t>
  </si>
  <si>
    <t>Cultures annuelles / cultures vivrières</t>
  </si>
  <si>
    <t>Palmier à huile (Vigoureux)</t>
  </si>
  <si>
    <t>Palmier à huile (Moyen)</t>
  </si>
  <si>
    <t>Acacia</t>
  </si>
  <si>
    <t>Buisson</t>
  </si>
  <si>
    <t>Terrains non aménagés</t>
  </si>
  <si>
    <t>Jeunes hévéas</t>
  </si>
  <si>
    <t xml:space="preserve">Hévéas </t>
  </si>
  <si>
    <t>Vieux hévéas</t>
  </si>
  <si>
    <t>Forêt intacte</t>
  </si>
  <si>
    <t>Forêt pertubée</t>
  </si>
  <si>
    <t>% terres défrichées pour d'autres utilisations (comparé à la superficie plantée)</t>
  </si>
  <si>
    <t>Développement proposé (sol minéral)</t>
  </si>
  <si>
    <t xml:space="preserve">Type d'utilisation des terres </t>
  </si>
  <si>
    <t>Surface totale (ha)</t>
  </si>
  <si>
    <t>Superficie plantée (ha)</t>
  </si>
  <si>
    <r>
      <t>tCO</t>
    </r>
    <r>
      <rPr>
        <b/>
        <vertAlign val="subscript"/>
        <sz val="11"/>
        <color theme="1"/>
        <rFont val="Calibri"/>
        <family val="2"/>
        <scheme val="minor"/>
      </rPr>
      <t>2</t>
    </r>
    <r>
      <rPr>
        <b/>
        <sz val="11"/>
        <color theme="1"/>
        <rFont val="Calibri"/>
        <family val="2"/>
        <scheme val="minor"/>
      </rPr>
      <t>e/yr 
(superficie plantée seulement)</t>
    </r>
  </si>
  <si>
    <r>
      <t>tCO</t>
    </r>
    <r>
      <rPr>
        <b/>
        <vertAlign val="subscript"/>
        <sz val="11"/>
        <color theme="1"/>
        <rFont val="Calibri"/>
        <family val="2"/>
        <scheme val="minor"/>
      </rPr>
      <t>2</t>
    </r>
    <r>
      <rPr>
        <b/>
        <sz val="11"/>
        <color theme="1"/>
        <rFont val="Calibri"/>
        <family val="2"/>
        <scheme val="minor"/>
      </rPr>
      <t>e/yr ( y compris les terres défrichées pour d'autres utilisations)</t>
    </r>
  </si>
  <si>
    <r>
      <t>tCO</t>
    </r>
    <r>
      <rPr>
        <b/>
        <vertAlign val="subscript"/>
        <sz val="11"/>
        <color theme="1"/>
        <rFont val="Calibri"/>
        <family val="2"/>
        <scheme val="minor"/>
      </rPr>
      <t>2</t>
    </r>
    <r>
      <rPr>
        <b/>
        <sz val="11"/>
        <color theme="1"/>
        <rFont val="Calibri"/>
        <family val="2"/>
        <scheme val="minor"/>
      </rPr>
      <t>e/yr (y compris les terres défrichées pour d'autres utilisations)</t>
    </r>
  </si>
  <si>
    <t>Type d'utilisation des terres</t>
  </si>
  <si>
    <t>Développement proposé (sol tourbeux)</t>
  </si>
  <si>
    <t>Superficie totale plantée, ha</t>
  </si>
  <si>
    <r>
      <t>Emissions totales provenant du CAT (y compris d'autre utilisation de terres), tCO</t>
    </r>
    <r>
      <rPr>
        <vertAlign val="subscript"/>
        <sz val="11"/>
        <color theme="1"/>
        <rFont val="Calibri"/>
        <family val="2"/>
        <scheme val="minor"/>
      </rPr>
      <t>2</t>
    </r>
    <r>
      <rPr>
        <sz val="11"/>
        <color theme="1"/>
        <rFont val="Calibri"/>
        <family val="2"/>
        <scheme val="minor"/>
      </rPr>
      <t>e/yr</t>
    </r>
  </si>
  <si>
    <t>2. Production de  régimes de fruits frais(FFB)</t>
  </si>
  <si>
    <t>Instructions: saisissez le rendement de FFB prévu pour le nouveau développement</t>
  </si>
  <si>
    <t xml:space="preserve">Données de production de FFB </t>
  </si>
  <si>
    <t>Superficie plantée ha</t>
  </si>
  <si>
    <t>Rendement de FFB prévu tFFB/ha</t>
  </si>
  <si>
    <t>Rendement de FFB prévu tFFB/an</t>
  </si>
  <si>
    <t>3. Consommation de carburant sur le terrain</t>
  </si>
  <si>
    <t>Instructions: Saisissez la consommation annuelle prévue de carburant, y compris le transport des FFB à l'usine, le transport des rafles (EFB) et / ou de compost sur le terrain, le transport des travailleurs et des matériaux sur le terrain, le fonctionnement des machines telles que les épandeurs d'engrais, les pompes et les retourneurs de compost, et l'entretien des infrastructures telles que les routes et les drains, pour la propre culture de l'usine. La consommation de carburant pour
les activités de défrichement des terres (en préparation pour les nouvelles plantations) est exclue.</t>
  </si>
  <si>
    <t>Hypothèses sur les émissions provenant de carburant</t>
  </si>
  <si>
    <t>Consommation de carburant projeté par an</t>
  </si>
  <si>
    <r>
      <t>Essence kg CO</t>
    </r>
    <r>
      <rPr>
        <vertAlign val="subscript"/>
        <sz val="11"/>
        <rFont val="Calibri"/>
        <family val="2"/>
        <scheme val="minor"/>
      </rPr>
      <t>2</t>
    </r>
    <r>
      <rPr>
        <sz val="11"/>
        <rFont val="Calibri"/>
        <family val="2"/>
        <scheme val="minor"/>
      </rPr>
      <t>e/l</t>
    </r>
  </si>
  <si>
    <t>Consommation l/ha</t>
  </si>
  <si>
    <t>Consommation l/an</t>
  </si>
  <si>
    <t>Emission  provenant de carburant consommé  sur le terrain</t>
  </si>
  <si>
    <t>4. Emissions de CO2 du sol (tourbe)</t>
  </si>
  <si>
    <t xml:space="preserve">Instruction: Cette feuille reprend les zones tourbeux plantése provenant de la feuille sur les "émissions de CAT", et estime les émissions de CO2 provenant de ces sols comme t CO2e / ha / an, en moyenne sur l'ensemble de la région. Les émissions dues à la culture sur sol tourbeux sont actuellement calculées en utilisant l'équation suivante essentiellement basée sur une revue de la mesure du flux de CO2 (Hooijer et al., 2010) [10]:
émission de CO2  provenant des sols tourbe ux (t CO2 / ha / an) = 0,91 x profondeur de drainage cm </t>
  </si>
  <si>
    <t>Sols minéraux</t>
  </si>
  <si>
    <t>Sols tourbeux</t>
  </si>
  <si>
    <t>Les niveaux de carbone organique du sol dans les sols minéraux sont supposés demeurer constants au cours du cycle de culture</t>
  </si>
  <si>
    <r>
      <t>Emissions totales de CO2 provenant de la tourbe tCO</t>
    </r>
    <r>
      <rPr>
        <b/>
        <vertAlign val="subscript"/>
        <sz val="11"/>
        <color theme="1"/>
        <rFont val="Calibri"/>
        <family val="2"/>
        <scheme val="minor"/>
      </rPr>
      <t>2</t>
    </r>
    <r>
      <rPr>
        <b/>
        <sz val="11"/>
        <color theme="1"/>
        <rFont val="Calibri"/>
        <family val="2"/>
        <scheme val="minor"/>
      </rPr>
      <t>/an</t>
    </r>
  </si>
  <si>
    <t>La nappe phréatique est-elle activement gérée (Bonne gestion de l'eau = Y, Gestion partielle de l'eau = P, Pas de gestion de l'eau = N)?</t>
  </si>
  <si>
    <t>Si la nappe phréatique n' est pas gérée, cm:</t>
  </si>
  <si>
    <t>Si la nappe phréatique est partiellement gérée, cm:</t>
  </si>
  <si>
    <t>Si la nappe phréatique est activement gérée (bonne gestion de l'eau), cm:</t>
  </si>
  <si>
    <r>
      <t>Si la nappe phréatique n' est pas gérée, les émissions de CO2 provenant de la tourbe tCO</t>
    </r>
    <r>
      <rPr>
        <vertAlign val="subscript"/>
        <sz val="11"/>
        <rFont val="Calibri"/>
        <family val="2"/>
        <scheme val="minor"/>
      </rPr>
      <t>2</t>
    </r>
    <r>
      <rPr>
        <sz val="11"/>
        <rFont val="Calibri"/>
        <family val="2"/>
        <scheme val="minor"/>
      </rPr>
      <t>/ha.an</t>
    </r>
  </si>
  <si>
    <t>Si la nappe phréatique est partiellement gérée, les émissions de CO2 provenant de la tourbe tCO2/ha.an</t>
  </si>
  <si>
    <t>Si la nappe phréatique est activement gérée (bonne gestion de l'eau), les émissions de CO2 provenant de la tourbe tCO2/ha.an</t>
  </si>
  <si>
    <t>Saisissez la composition détaillée de l'engrais complexe</t>
  </si>
  <si>
    <t>Formule de l'engrais complexe</t>
  </si>
  <si>
    <t>Contenus en macro-nutriments</t>
  </si>
  <si>
    <t>Contenu en N</t>
  </si>
  <si>
    <t>Contenu en P2O5</t>
  </si>
  <si>
    <t>Contenu en K2O</t>
  </si>
  <si>
    <t>N de l'urée</t>
  </si>
  <si>
    <t>N de ammonium nitrate</t>
  </si>
  <si>
    <t>P2O5 de triple superphosphate</t>
  </si>
  <si>
    <t>K2O de potassium sulphate</t>
  </si>
  <si>
    <t>N de sulfate d'ammoniaque</t>
  </si>
  <si>
    <t xml:space="preserve">P2O5  de phosphate naturel </t>
  </si>
  <si>
    <t>P2O5  de phosphate de diammonium</t>
  </si>
  <si>
    <t>N de chlorure d'ammonium</t>
  </si>
  <si>
    <t>K2O de muriate de potasse ou  de chlorure de potassium</t>
  </si>
  <si>
    <t>N de phosphate de diammonium</t>
  </si>
  <si>
    <t xml:space="preserve">Muriate de potasse - Chlorure de potassium </t>
  </si>
  <si>
    <t>Chlorure d'ammonium</t>
  </si>
  <si>
    <t>Nitrate d'ammonium</t>
  </si>
  <si>
    <t>Demande chimique en oxygène</t>
  </si>
  <si>
    <t xml:space="preserve"> Phosphate diammonique</t>
  </si>
  <si>
    <t>Ground rock phosphate - Phospate naturel</t>
  </si>
  <si>
    <t>Ground magnesium limestone - Calcaire magnésien</t>
  </si>
  <si>
    <t>Sulphate of ammonia - Sulfate d'ammoniaque</t>
  </si>
  <si>
    <t>Contenu en Ca</t>
  </si>
  <si>
    <t>Contenu en MgO</t>
  </si>
  <si>
    <t>Contenu en S</t>
  </si>
  <si>
    <t>% de CaCl2</t>
  </si>
  <si>
    <t>% de MgO</t>
  </si>
  <si>
    <t>Contenu en micronutriments</t>
  </si>
  <si>
    <t>Contenu en macronutriments secondaires</t>
  </si>
  <si>
    <t>Contenu en Cu</t>
  </si>
  <si>
    <t>Contenu en Fe</t>
  </si>
  <si>
    <t>Contenu en B</t>
  </si>
  <si>
    <t>Contenu en Zn</t>
  </si>
  <si>
    <t>% de CuO</t>
  </si>
  <si>
    <t>% de FeSO4</t>
  </si>
  <si>
    <t>% de B2O3</t>
  </si>
  <si>
    <t>% de ZnO</t>
  </si>
  <si>
    <t>Total CO2eq/tonne d'engrais complexe</t>
  </si>
  <si>
    <t>Contenu en macro-nutriments</t>
  </si>
  <si>
    <t>Si vous savez la source d'engrais pour chaque nutriment, veuillez écrire «Y» dans la case ci-dessous l'engrais sélectionné. Si la source est inconnue, vous pouvez laisser les cellules vides. Faites attention de sélectionner seulement un type de source par nutriment!</t>
  </si>
  <si>
    <t>Si vous savez  la source d'engrais pour chaque nutriment, veuillez écrire «Y» dans la case ci-dessous l'engrais sélectionné. Si la source est inconnue, vous pouvez laisser les cellules vides. Faites attention de sélectionner seulement  un type de source par nutriment!</t>
  </si>
  <si>
    <t>Défini par l'utilisateur 6</t>
  </si>
  <si>
    <t>Défini par l'utilisateur 7</t>
  </si>
  <si>
    <t>Défini par l'utilisateur  8</t>
  </si>
  <si>
    <t>Défini par l'utilisateur 9</t>
  </si>
  <si>
    <t>Défini par l'utilisateur  10</t>
  </si>
  <si>
    <t>% de N</t>
  </si>
  <si>
    <t>% de P2O5</t>
  </si>
  <si>
    <t>% de K2O</t>
  </si>
  <si>
    <t>Instructions: Saisissez la composition de l'engrais composé. Un exemple est montré en utilisant un engrais hypothétique, NPK 12.6.7. Cette feuille estime les émissions associées à la fabrication de l'engrais. Les utilisateurs peuvent entrer jusqu'à 10 types d'engrais composés. Ignorez cette feuille si vos engrais de choix est déjà facilement disponible dans la feuille '"Engrais et  N2O"</t>
  </si>
  <si>
    <r>
      <t>Engrais et N</t>
    </r>
    <r>
      <rPr>
        <b/>
        <vertAlign val="subscript"/>
        <sz val="11"/>
        <rFont val="Calibri"/>
        <family val="2"/>
      </rPr>
      <t>2</t>
    </r>
    <r>
      <rPr>
        <b/>
        <sz val="11"/>
        <rFont val="Calibri"/>
        <family val="2"/>
      </rPr>
      <t>O</t>
    </r>
  </si>
  <si>
    <t>Le transport routier, à partir du port local ou du distributeur local jusqu'aux usines km</t>
  </si>
  <si>
    <t>Transport outre-mer par défaut en provenance de l'étranger</t>
  </si>
  <si>
    <t>Transport routier</t>
  </si>
  <si>
    <t>Source au port local km</t>
  </si>
  <si>
    <t>Consommation d'engrais prévue</t>
  </si>
  <si>
    <t>Typed'engrais</t>
  </si>
  <si>
    <t>t/an</t>
  </si>
  <si>
    <t>Emissions provenant du transport et de  la fabrication</t>
  </si>
  <si>
    <t>Emissions provenant de l'application</t>
  </si>
  <si>
    <t>Instruction: Saisissez la consommation annuelle d'engrais prévue . Cette feuille estime la quantite totale de CO2e produite provenant de la fabrication, le transport et la consommation d'engrais selon les types . Elle estime aussi le N2O produit par l'application sur le terrain d'engrais, rafles et compost et des effluents. Une liste des engrais simples est déjà prévue. Pour les engrais composés, les utilisateurs doivent d'abord les ajouter dans la feuille "définie par l'utilisateur d'engrais" (voir cellules jaunes). Les émissions provenant de la fabrication des engrais composés peuvent être estimées à l'aide de la feuille "définie par l'utilisateur d'engrais".  Un exemple, montrant la façon de procéder, est illustré en utilisant un engrais hypothétique - NPK 12.6.7</t>
  </si>
  <si>
    <r>
      <t>tCO</t>
    </r>
    <r>
      <rPr>
        <vertAlign val="subscript"/>
        <sz val="11"/>
        <color indexed="8"/>
        <rFont val="Calibri"/>
        <family val="2"/>
      </rPr>
      <t>2</t>
    </r>
    <r>
      <rPr>
        <sz val="11"/>
        <color indexed="8"/>
        <rFont val="Calibri"/>
        <family val="2"/>
      </rPr>
      <t>e/an</t>
    </r>
  </si>
  <si>
    <t>EFFLUENTS</t>
  </si>
  <si>
    <t>EFFLUENTS d'usine t</t>
  </si>
  <si>
    <t>Perte directe de  N2O kg/Superficie plantée ha</t>
  </si>
  <si>
    <t>Perte indirecte de  N2O kg/Superficie plantée ha</t>
  </si>
  <si>
    <t>EFFLUENTS t/Superficie plantée ha</t>
  </si>
  <si>
    <r>
      <t>total N</t>
    </r>
    <r>
      <rPr>
        <vertAlign val="subscript"/>
        <sz val="11"/>
        <color indexed="8"/>
        <rFont val="Calibri"/>
        <family val="2"/>
      </rPr>
      <t>2</t>
    </r>
    <r>
      <rPr>
        <sz val="11"/>
        <color theme="1"/>
        <rFont val="Calibri"/>
        <family val="2"/>
        <scheme val="minor"/>
      </rPr>
      <t>O kg/ha  provenant des EFFLUENTS</t>
    </r>
  </si>
  <si>
    <r>
      <t>total N</t>
    </r>
    <r>
      <rPr>
        <vertAlign val="subscript"/>
        <sz val="11"/>
        <color indexed="8"/>
        <rFont val="Calibri"/>
        <family val="2"/>
      </rPr>
      <t>2</t>
    </r>
    <r>
      <rPr>
        <sz val="11"/>
        <color theme="1"/>
        <rFont val="Calibri"/>
        <family val="2"/>
        <scheme val="minor"/>
      </rPr>
      <t>O tCO2e/ha provenant des EFFLUENTS</t>
    </r>
  </si>
  <si>
    <t>RAFLES</t>
  </si>
  <si>
    <t>Production annuelle de RAFLES, t</t>
  </si>
  <si>
    <t>% RAFLES appliquéS directement sur le terrain</t>
  </si>
  <si>
    <t>% RAFLES convertis en compost</t>
  </si>
  <si>
    <t>% RAFLES appliqués directement sur le terrain</t>
  </si>
  <si>
    <t>Superficie plantée du domaine ha</t>
  </si>
  <si>
    <t>RAFLES t/Superficie plantée ha</t>
  </si>
  <si>
    <t>app'd N dans les EFFLUENTS kg/Superficie plantée ha</t>
  </si>
  <si>
    <t>app'd N dans les RAFLES kg/Superficie plantée ha</t>
  </si>
  <si>
    <r>
      <t>Perte directe de  N2O kg</t>
    </r>
    <r>
      <rPr>
        <sz val="11"/>
        <color indexed="8"/>
        <rFont val="Calibri"/>
        <family val="2"/>
      </rPr>
      <t>/Superficie plantée ha</t>
    </r>
  </si>
  <si>
    <r>
      <t>Perte indirecte de  N2O kg</t>
    </r>
    <r>
      <rPr>
        <sz val="11"/>
        <color indexed="8"/>
        <rFont val="Calibri"/>
        <family val="2"/>
      </rPr>
      <t>/Superficie plantée ha</t>
    </r>
  </si>
  <si>
    <r>
      <t>Total N</t>
    </r>
    <r>
      <rPr>
        <vertAlign val="subscript"/>
        <sz val="11"/>
        <color indexed="8"/>
        <rFont val="Calibri"/>
        <family val="2"/>
      </rPr>
      <t>2</t>
    </r>
    <r>
      <rPr>
        <sz val="11"/>
        <color indexed="8"/>
        <rFont val="Calibri"/>
        <family val="2"/>
      </rPr>
      <t>O kg/ha provenant des RAFLES</t>
    </r>
  </si>
  <si>
    <r>
      <t>total N2O tCO</t>
    </r>
    <r>
      <rPr>
        <vertAlign val="subscript"/>
        <sz val="11"/>
        <color indexed="8"/>
        <rFont val="Calibri"/>
        <family val="2"/>
      </rPr>
      <t>2</t>
    </r>
    <r>
      <rPr>
        <sz val="11"/>
        <color theme="1"/>
        <rFont val="Calibri"/>
        <family val="2"/>
        <scheme val="minor"/>
      </rPr>
      <t>e/ha provenant des RAFLES</t>
    </r>
  </si>
  <si>
    <t>Compost appliquée, t/Superficie plantée ha</t>
  </si>
  <si>
    <t>Compost appliquée, t/an</t>
  </si>
  <si>
    <t>Contenu du compost en N %</t>
  </si>
  <si>
    <t>app'd N dans le compost kg/Superficie plantée ha</t>
  </si>
  <si>
    <r>
      <t>Total N</t>
    </r>
    <r>
      <rPr>
        <vertAlign val="subscript"/>
        <sz val="11"/>
        <color indexed="8"/>
        <rFont val="Calibri"/>
        <family val="2"/>
      </rPr>
      <t>2</t>
    </r>
    <r>
      <rPr>
        <sz val="11"/>
        <color indexed="8"/>
        <rFont val="Calibri"/>
        <family val="2"/>
      </rPr>
      <t>O kg/ha provenant du compost</t>
    </r>
  </si>
  <si>
    <r>
      <t>total N2O tCO</t>
    </r>
    <r>
      <rPr>
        <vertAlign val="subscript"/>
        <sz val="11"/>
        <color indexed="8"/>
        <rFont val="Calibri"/>
        <family val="2"/>
      </rPr>
      <t>2</t>
    </r>
    <r>
      <rPr>
        <sz val="11"/>
        <color theme="1"/>
        <rFont val="Calibri"/>
        <family val="2"/>
        <scheme val="minor"/>
      </rPr>
      <t>e/ha provenant du compost</t>
    </r>
  </si>
  <si>
    <r>
      <t>total N2O tCO</t>
    </r>
    <r>
      <rPr>
        <vertAlign val="subscript"/>
        <sz val="11"/>
        <color indexed="8"/>
        <rFont val="Calibri"/>
        <family val="2"/>
      </rPr>
      <t>2</t>
    </r>
    <r>
      <rPr>
        <sz val="11"/>
        <color theme="1"/>
        <rFont val="Calibri"/>
        <family val="2"/>
        <scheme val="minor"/>
      </rPr>
      <t>e/ha provenant des RAFLES et du compost</t>
    </r>
  </si>
  <si>
    <t>Résumé N2O</t>
  </si>
  <si>
    <r>
      <t>Engrais tCO</t>
    </r>
    <r>
      <rPr>
        <vertAlign val="subscript"/>
        <sz val="11"/>
        <color indexed="8"/>
        <rFont val="Calibri"/>
        <family val="2"/>
      </rPr>
      <t>2</t>
    </r>
    <r>
      <rPr>
        <sz val="11"/>
        <color indexed="8"/>
        <rFont val="Calibri"/>
        <family val="2"/>
      </rPr>
      <t>e/an</t>
    </r>
  </si>
  <si>
    <r>
      <t>RAFLES et compost tCO</t>
    </r>
    <r>
      <rPr>
        <vertAlign val="subscript"/>
        <sz val="11"/>
        <color indexed="8"/>
        <rFont val="Calibri"/>
        <family val="2"/>
      </rPr>
      <t>2</t>
    </r>
    <r>
      <rPr>
        <sz val="11"/>
        <color indexed="8"/>
        <rFont val="Calibri"/>
        <family val="2"/>
      </rPr>
      <t>e/an</t>
    </r>
  </si>
  <si>
    <r>
      <t>EFFLUENTS tCO</t>
    </r>
    <r>
      <rPr>
        <vertAlign val="subscript"/>
        <sz val="11"/>
        <color indexed="8"/>
        <rFont val="Calibri"/>
        <family val="2"/>
      </rPr>
      <t>2</t>
    </r>
    <r>
      <rPr>
        <sz val="11"/>
        <color indexed="8"/>
        <rFont val="Calibri"/>
        <family val="2"/>
      </rPr>
      <t>e/an</t>
    </r>
  </si>
  <si>
    <r>
      <t>Total N</t>
    </r>
    <r>
      <rPr>
        <vertAlign val="subscript"/>
        <sz val="11"/>
        <color indexed="8"/>
        <rFont val="Calibri"/>
        <family val="2"/>
      </rPr>
      <t>2</t>
    </r>
    <r>
      <rPr>
        <sz val="11"/>
        <color indexed="8"/>
        <rFont val="Calibri"/>
        <family val="2"/>
      </rPr>
      <t>O tCO2e/an</t>
    </r>
  </si>
  <si>
    <r>
      <t>Emission N</t>
    </r>
    <r>
      <rPr>
        <vertAlign val="subscript"/>
        <sz val="11"/>
        <color theme="1"/>
        <rFont val="Calibri"/>
        <family val="2"/>
        <scheme val="minor"/>
      </rPr>
      <t>2</t>
    </r>
    <r>
      <rPr>
        <sz val="11"/>
        <color theme="1"/>
        <rFont val="Calibri"/>
        <family val="2"/>
        <scheme val="minor"/>
      </rPr>
      <t>O provenant des sols tourbeux,  tCO2e/an</t>
    </r>
  </si>
  <si>
    <r>
      <t>Total N</t>
    </r>
    <r>
      <rPr>
        <vertAlign val="subscript"/>
        <sz val="11"/>
        <color indexed="8"/>
        <rFont val="Calibri"/>
        <family val="2"/>
      </rPr>
      <t>2</t>
    </r>
    <r>
      <rPr>
        <sz val="11"/>
        <color indexed="8"/>
        <rFont val="Calibri"/>
        <family val="2"/>
      </rPr>
      <t>O, tCO2e/an</t>
    </r>
  </si>
  <si>
    <r>
      <t>Instructions:</t>
    </r>
    <r>
      <rPr>
        <i/>
        <sz val="11"/>
        <color rgb="FFFF0000"/>
        <rFont val="Calibri"/>
        <family val="2"/>
        <scheme val="minor"/>
      </rPr>
      <t xml:space="preserve"> </t>
    </r>
    <r>
      <rPr>
        <i/>
        <sz val="11"/>
        <rFont val="Calibri"/>
        <family val="2"/>
        <scheme val="minor"/>
      </rPr>
      <t>Saisissez la zone de conservation forestière  en ha mis de côté et saisissez la séquestration de conservation moyenne afin de calculer le réservoir d'émissions de toute la zone de conservation forestière (ha). Le taux de la séquestration de conservation RSPO par défault  est fourni ci-dessous. Vous pouvez utiliser le taux régional / national / local personnalisé de la séquestration de conservation à condition que vous fournissiez des références à ce taux . 
*La plantation de palmier à huile peut avoir des zones qui sont appropriése pour la culture du palmier à huile, mais ont été spécialement protégées contre le défrichement comme étant des blocs de conservation. Ces zones pourraient être utilisées comme une source de séquestration du carbone.</t>
    </r>
  </si>
  <si>
    <r>
      <rPr>
        <b/>
        <sz val="11"/>
        <color theme="1"/>
        <rFont val="Calibri"/>
        <family val="2"/>
        <scheme val="minor"/>
      </rPr>
      <t>Texte relatif aux lignes directrice pour l'utilisation de la valeur de séquestration de conservation par défaut:</t>
    </r>
    <r>
      <rPr>
        <sz val="11"/>
        <color theme="1"/>
        <rFont val="Calibri"/>
        <family val="2"/>
        <scheme val="minor"/>
      </rPr>
      <t xml:space="preserve">
Trois valeurs  regionales de séquestration de conservation par défaut sont données comme suit: i) </t>
    </r>
    <r>
      <rPr>
        <b/>
        <sz val="11"/>
        <color theme="1"/>
        <rFont val="Calibri"/>
        <family val="2"/>
        <scheme val="minor"/>
      </rPr>
      <t>Afrique 2.41 tC/ha/an</t>
    </r>
    <r>
      <rPr>
        <sz val="11"/>
        <color theme="1"/>
        <rFont val="Calibri"/>
        <family val="2"/>
        <scheme val="minor"/>
      </rPr>
      <t xml:space="preserve">; ii) </t>
    </r>
    <r>
      <rPr>
        <b/>
        <sz val="11"/>
        <color theme="1"/>
        <rFont val="Calibri"/>
        <family val="2"/>
        <scheme val="minor"/>
      </rPr>
      <t>Asie du Sud-Est 2.5tC/ha/an</t>
    </r>
    <r>
      <rPr>
        <sz val="11"/>
        <color theme="1"/>
        <rFont val="Calibri"/>
        <family val="2"/>
        <scheme val="minor"/>
      </rPr>
      <t xml:space="preserve">; and iii) </t>
    </r>
    <r>
      <rPr>
        <b/>
        <sz val="11"/>
        <color theme="1"/>
        <rFont val="Calibri"/>
        <family val="2"/>
        <scheme val="minor"/>
      </rPr>
      <t>Amérique du Sud 1.5 tC/ha/an</t>
    </r>
    <r>
      <rPr>
        <sz val="11"/>
        <color theme="1"/>
        <rFont val="Calibri"/>
        <family val="2"/>
        <scheme val="minor"/>
      </rPr>
      <t>.  Ces valeurs par défaut sont issus de littératures publiées (voir liens). Trois principes de précaution sont adoptées aux côtés de ces valeurs par défaut:
a)     Des valeurs de séquestration plus faibles sont recommandées afin d'éviter la comptabilisation de la séquestration des zones mises de côté, cependant offrent des motivations aux producteurs dans la  gestion de l'ensemble de la zone de conservation mises de côté dans les planttaions. 
b)     Les données par défaut régionales sont applicables uniquement pour les zones mises de côté qui représentent une qualité de forêts similaires à celles décrites dans la littérature à savoir la forêt avec des impacts post-exploitation forestière et avec des activités humaines. 
c)      Comme l'exige la Procédure RSPO pour le développement de nouvelles plantations (NPP),    les producteurs doivent présenter des mesures de gestion et de suivi afin de preserver, gerer et ameliorer ces zones.  Les conclusion des résultats du suivi actuel  doivent être incorporés lors du rapport relatif au C5.6.</t>
    </r>
  </si>
  <si>
    <t>Zone de conservation forestiere (ha):</t>
  </si>
  <si>
    <r>
      <t>Séquestration de conservation moyenne  dans les blocs de Conservation tCO</t>
    </r>
    <r>
      <rPr>
        <vertAlign val="subscript"/>
        <sz val="11"/>
        <rFont val="Calibri"/>
        <family val="2"/>
      </rPr>
      <t>2</t>
    </r>
    <r>
      <rPr>
        <sz val="11"/>
        <rFont val="Calibri"/>
        <family val="2"/>
        <scheme val="minor"/>
      </rPr>
      <t>e/ha.an</t>
    </r>
  </si>
  <si>
    <r>
      <t>Séquestration de conservation dans les blocs de Conservation  allouée au zone de palmeraie tCO</t>
    </r>
    <r>
      <rPr>
        <vertAlign val="subscript"/>
        <sz val="11"/>
        <rFont val="Calibri"/>
        <family val="2"/>
        <scheme val="minor"/>
      </rPr>
      <t>2</t>
    </r>
    <r>
      <rPr>
        <sz val="11"/>
        <rFont val="Calibri"/>
        <family val="2"/>
        <scheme val="minor"/>
      </rPr>
      <t>e/ha.yr</t>
    </r>
  </si>
  <si>
    <r>
      <t>Séquestration de conservation dans les blocs de Conservation  allouée au zone de palmeraie tCO</t>
    </r>
    <r>
      <rPr>
        <vertAlign val="subscript"/>
        <sz val="11"/>
        <rFont val="Calibri"/>
        <family val="2"/>
        <scheme val="minor"/>
      </rPr>
      <t>2</t>
    </r>
    <r>
      <rPr>
        <sz val="11"/>
        <rFont val="Calibri"/>
        <family val="2"/>
        <scheme val="minor"/>
      </rPr>
      <t>e/an</t>
    </r>
  </si>
  <si>
    <t xml:space="preserve">Séquestration du Bloc de Conservation </t>
  </si>
  <si>
    <t xml:space="preserve">Références </t>
  </si>
  <si>
    <r>
      <rPr>
        <sz val="12"/>
        <color theme="1"/>
        <rFont val="Calibri"/>
        <family val="2"/>
        <scheme val="minor"/>
      </rPr>
      <t xml:space="preserve">Remplissez uniquement </t>
    </r>
    <r>
      <rPr>
        <sz val="12"/>
        <color rgb="FFFF0000"/>
        <rFont val="Calibri"/>
        <family val="2"/>
        <scheme val="minor"/>
      </rPr>
      <t>les cellules surlignées en jaune</t>
    </r>
    <r>
      <rPr>
        <sz val="12"/>
        <color theme="1"/>
        <rFont val="Calibri"/>
        <family val="2"/>
        <scheme val="minor"/>
      </rPr>
      <t xml:space="preserve"> dans chaque feuille.</t>
    </r>
    <r>
      <rPr>
        <sz val="11"/>
        <color theme="1"/>
        <rFont val="Calibri"/>
        <family val="2"/>
        <scheme val="minor"/>
      </rPr>
      <t xml:space="preserve"> 
1.      Commencez par la fiche  sur les "émissions provenant du changement d'affectation des terres (CAT)",  et entrez dans la zone à défricher et dans les stocks de carbone correspondants (voir votre rapport d'évaluation des stocks de carbone)
2.      Passez à la feuille sur la "production de régimes de fruits frais (FFB)", et saisissez le rendement de FFB prévu/ha
3.      Allez ensuite à la feuille "carburant consommé sur le terrain" et saisissez la consommation annuelle prévue de carburant sur le terrain.
4.      Continuez sur la feuille relative a "la tourbe". Si vous avez indiqué une zone de tourbière à défricher dans la fiche sur  les '"émissions provenant du changement d'affectation des terres (CAT)", vous devez indiquer la gestion de l'eau prévu dans la tourbe drainée afin d'estimer les émissions provenant de l'oxydation de la tourbe. Ignorez cette étape s'il n'y a pas de développement sur la tourbe.
5.       Utilisez-vous des engrais composés qui  ne sont pas actuellement disponibles dans le calculateur? Si oui, passez à la feuille "engrais défini par l'utilisateur " et saisissez les propriétés nutritives pertinentes de votre engrais composé. La feuille permettra d'estimer les émissions des matériaux (provenant de la fabrication) de votre engrais et les données pertinentes seront liées à la feuille suivante, "engrais et N2O".
* Si votre engrais de choix est déjà disponible dans calculateur, vous pouvez sauter cette étape et passer directement à  la feuille "engrais et N2O".
6.        Dans la feuille "engrais et N2O », saisissez  la consommation annuelle prévue d'engrais sur le terrain. Donnez également les estimations de distance pour le transport maritime et le transport routier de vos engrais choisis. Le transport maritime par défaut est donné à titre de  6.000 km si l'information n'est pas disponible.
7.       Si vous avez des zones de conservation devant être mis de côté, vous pouvez estimer le taux de séquestration annuelle dans la feuille "séquestration de la zone de conservation" .
8.        La feuille sur la "séquestration des cultures" fournit des données tirées de l'OPRODSIM/OPCABSIM mais étalés egalement sur 25 ans. Cela peut être modifié si des données plus appropriées sont disponibles. Toute modification doit être identifiée et justifiée dans le rapport d'évaluation des GES.
9.       Enfin, si votre nouveau développement comprendra les opérations de l'usine, veuillez remplir la feuille sur les «données usine». Vous pouvez sauter cette étape s'il n'existe pas des opérations de l'usine (par exemple les petits exploitants et les planteurs associés).
10.      Allez à la feuille "résumé des résultats" pour vos résultats d'émissions.
*IMPORTANT NOTE: Default values are provided and listed in the ‘Default data’ sheet but users are encouraged to check that the data are appropriate for the mill and estate being evaluated. Changes can be made, but must be identified and justified in the GHG Assessment report.</t>
    </r>
  </si>
  <si>
    <r>
      <t>Remarque pour les utilisateurs:</t>
    </r>
    <r>
      <rPr>
        <i/>
        <sz val="11"/>
        <color theme="1"/>
        <rFont val="Calibri"/>
        <family val="2"/>
        <scheme val="minor"/>
      </rPr>
      <t xml:space="preserve"> la feuille sur la " séquestration de cultures" fournit des données tirées de l'OPRODSIM/OPCABSIM mais au lieu d'appliquer le modèle de croissance dynamique d'origine (comme ce fut le cas auparavant dans PalmGHG et PalmGHG simplifié relatif au C7.8), le développement nouveau du calculateur GES  utilise les données de OPRODSIM/OPCABSIM et les étale également sur 25 ans. Les données qui se trouvent ici peuvent être changées si les utilisateurs ont des données plus appropriées sur la croissance du palmier à huile. Toute modification doit être identifiée et justifiée dans le rapport d'évaluation des GES.  </t>
    </r>
  </si>
  <si>
    <t>croissance vigoureuse</t>
  </si>
  <si>
    <t>Année de plantation</t>
  </si>
  <si>
    <t>Racines de palmiers</t>
  </si>
  <si>
    <t>Couverture de sol</t>
  </si>
  <si>
    <t>Piles de feuilles de palmier</t>
  </si>
  <si>
    <t>Litière de palmiers</t>
  </si>
  <si>
    <t>tCO2e/ha.an (25 ans en moyenne)</t>
  </si>
  <si>
    <t>tBiomasse/ha.an 
(25 ans en moyenne)</t>
  </si>
  <si>
    <t>Croissance moyenne</t>
  </si>
  <si>
    <t>Biomasse totale</t>
  </si>
  <si>
    <t>Instructions: si votre nouveau développement ne comprendra pas les activités d'une usine. Vous ne devez pas saisir des données dans cette feuille. Cette feuille contient des données projetée de l'usine , calcule la production d'huile de palme brute (CPO )et d'huile de palmiste (PK) (t / an), et estime la production de méthane provenant de l'EFFLUENT et la consommation de carburant dans l'usine. Il est prévu pour la capture du méthane pour le brûlage ou la production d'électricité, pour l'importation de l'électricité du réseau, pour l'exportation de RAFLES et des coques en tant que sources d'énergie, pour l'exportation de surplus d'électricité produite.</t>
  </si>
  <si>
    <t xml:space="preserve"> Données usine</t>
  </si>
  <si>
    <t xml:space="preserve">Production de CPO et PK </t>
  </si>
  <si>
    <t>Prévue tout au long de  l'annee tFFB/an</t>
  </si>
  <si>
    <t>Taux d'extraction d'huile prévu%</t>
  </si>
  <si>
    <t>Production CPO prévue  tCPO/an</t>
  </si>
  <si>
    <t>Taux d'extraction du noyau de palmiste (KER) prévu%</t>
  </si>
  <si>
    <t>Production PK prévue tPK/an</t>
  </si>
  <si>
    <t>Consommation Carburant Usine</t>
  </si>
  <si>
    <t>Hypothèses sur les émissions de carburant</t>
  </si>
  <si>
    <t>Consommation de carburant projetée par an</t>
  </si>
  <si>
    <t>Consommation l / t régimes transformés</t>
  </si>
  <si>
    <t>Essence</t>
  </si>
  <si>
    <t xml:space="preserve">Emission provenant des carburants de l'usine </t>
  </si>
  <si>
    <r>
      <t>Total tCO</t>
    </r>
    <r>
      <rPr>
        <vertAlign val="subscript"/>
        <sz val="11"/>
        <color indexed="8"/>
        <rFont val="Calibri"/>
        <family val="2"/>
      </rPr>
      <t>2</t>
    </r>
    <r>
      <rPr>
        <sz val="11"/>
        <color indexed="8"/>
        <rFont val="Calibri"/>
        <family val="2"/>
      </rPr>
      <t>e/an</t>
    </r>
  </si>
  <si>
    <t>Emissions provenant des EFFLUENTS</t>
  </si>
  <si>
    <t>Hypothèses par défaut</t>
  </si>
  <si>
    <t>kgCH4/T EFFLUENTS</t>
  </si>
  <si>
    <t>tEFFLUENTS/T REGIMES</t>
  </si>
  <si>
    <t>QuantitE d'EFFLUENTSproduits t/an</t>
  </si>
  <si>
    <r>
      <t>CH</t>
    </r>
    <r>
      <rPr>
        <vertAlign val="subscript"/>
        <sz val="11"/>
        <color indexed="8"/>
        <rFont val="Calibri"/>
        <family val="2"/>
      </rPr>
      <t xml:space="preserve">4 </t>
    </r>
    <r>
      <rPr>
        <sz val="11"/>
        <color indexed="8"/>
        <rFont val="Calibri"/>
        <family val="2"/>
      </rPr>
      <t>t/an (total)</t>
    </r>
  </si>
  <si>
    <t>Production EFFLUENTS</t>
  </si>
  <si>
    <t>tRAFLES/TREGIMES</t>
  </si>
  <si>
    <t>Hypothèses de traitement EFFLUENTS</t>
  </si>
  <si>
    <t>% EFFLUENTS  détournés vers la capture du méthane (brulage)</t>
  </si>
  <si>
    <t>%EFFLUENTS détournés vers la capture du méthane (production d'électricité)</t>
  </si>
  <si>
    <t>Conversion du méthane en électricité</t>
  </si>
  <si>
    <r>
      <t>CH</t>
    </r>
    <r>
      <rPr>
        <vertAlign val="subscript"/>
        <sz val="11"/>
        <rFont val="Calibri"/>
        <family val="2"/>
      </rPr>
      <t>4</t>
    </r>
    <r>
      <rPr>
        <sz val="11"/>
        <rFont val="Calibri"/>
        <family val="2"/>
      </rPr>
      <t xml:space="preserve"> perdu dans la digestion %</t>
    </r>
  </si>
  <si>
    <r>
      <t>CH</t>
    </r>
    <r>
      <rPr>
        <vertAlign val="subscript"/>
        <sz val="11"/>
        <rFont val="Calibri"/>
        <family val="2"/>
      </rPr>
      <t>4</t>
    </r>
    <r>
      <rPr>
        <sz val="11"/>
        <rFont val="Calibri"/>
        <family val="2"/>
      </rPr>
      <t xml:space="preserve"> provenant de la digestion détournée vers le brulage %</t>
    </r>
  </si>
  <si>
    <t xml:space="preserve">Les facteurs ont été tirés de la feuille de calcul du Protocole  GES (dernière mise à jour mai 2015) sur les «émissions de GES provenant de l'électricité achetée" . La source des informations  de cette feuille de calcul provient des  facteurs d'émission de l'IEA pour 2012.. </t>
  </si>
  <si>
    <r>
      <t>CH</t>
    </r>
    <r>
      <rPr>
        <vertAlign val="subscript"/>
        <sz val="11"/>
        <rFont val="Calibri"/>
        <family val="2"/>
      </rPr>
      <t>4</t>
    </r>
    <r>
      <rPr>
        <sz val="11"/>
        <rFont val="Calibri"/>
        <family val="2"/>
      </rPr>
      <t xml:space="preserve"> perdu dans le brulage %</t>
    </r>
  </si>
  <si>
    <r>
      <t>CH</t>
    </r>
    <r>
      <rPr>
        <vertAlign val="subscript"/>
        <sz val="11"/>
        <rFont val="Calibri"/>
        <family val="2"/>
      </rPr>
      <t>4</t>
    </r>
    <r>
      <rPr>
        <sz val="11"/>
        <rFont val="Calibri"/>
        <family val="2"/>
      </rPr>
      <t xml:space="preserve"> détournée en énergie %</t>
    </r>
  </si>
  <si>
    <r>
      <t>CH</t>
    </r>
    <r>
      <rPr>
        <vertAlign val="subscript"/>
        <sz val="11"/>
        <rFont val="Calibri"/>
        <family val="2"/>
      </rPr>
      <t xml:space="preserve">4 </t>
    </r>
    <r>
      <rPr>
        <sz val="11"/>
        <rFont val="Calibri"/>
        <family val="2"/>
      </rPr>
      <t>perdu dans le moteur à gaz %</t>
    </r>
  </si>
  <si>
    <t>Total CH4 perdu dans l'atmosphère %</t>
  </si>
  <si>
    <t>Rendement du moteur à gaz %</t>
  </si>
  <si>
    <r>
      <t>CH</t>
    </r>
    <r>
      <rPr>
        <vertAlign val="subscript"/>
        <sz val="11"/>
        <rFont val="Calibri"/>
        <family val="2"/>
      </rPr>
      <t xml:space="preserve">4  </t>
    </r>
    <r>
      <rPr>
        <sz val="11"/>
        <rFont val="Calibri"/>
        <family val="2"/>
      </rPr>
      <t>converti en électricité %</t>
    </r>
  </si>
  <si>
    <r>
      <t>Coefficient d'émission d'électricité kg CO</t>
    </r>
    <r>
      <rPr>
        <vertAlign val="subscript"/>
        <sz val="11"/>
        <rFont val="Calibri"/>
        <family val="2"/>
      </rPr>
      <t>2</t>
    </r>
    <r>
      <rPr>
        <sz val="11"/>
        <rFont val="Calibri"/>
        <family val="2"/>
      </rPr>
      <t>e/MJ</t>
    </r>
  </si>
  <si>
    <t>Brûlage du methane</t>
  </si>
  <si>
    <r>
      <t>CH</t>
    </r>
    <r>
      <rPr>
        <vertAlign val="subscript"/>
        <sz val="11"/>
        <rFont val="Calibri"/>
        <family val="2"/>
      </rPr>
      <t>4</t>
    </r>
    <r>
      <rPr>
        <sz val="11"/>
        <rFont val="Calibri"/>
        <family val="2"/>
      </rPr>
      <t xml:space="preserve">  perdu dans la digestion %</t>
    </r>
  </si>
  <si>
    <r>
      <t>CH</t>
    </r>
    <r>
      <rPr>
        <vertAlign val="subscript"/>
        <sz val="11"/>
        <rFont val="Calibri"/>
        <family val="2"/>
      </rPr>
      <t xml:space="preserve">4 </t>
    </r>
    <r>
      <rPr>
        <sz val="11"/>
        <rFont val="Calibri"/>
        <family val="2"/>
      </rPr>
      <t>perdu dans l'atmosphère %</t>
    </r>
  </si>
  <si>
    <t>Emissions de Methane  tCO2e</t>
  </si>
  <si>
    <t>capture du méthane (brulage)</t>
  </si>
  <si>
    <t>% EFFLUENTS détournés vers un étang anaérobie (conventionnel)</t>
  </si>
  <si>
    <t>étang anaérobie (conventionnel)</t>
  </si>
  <si>
    <r>
      <t>Emissions totales CH</t>
    </r>
    <r>
      <rPr>
        <vertAlign val="subscript"/>
        <sz val="11"/>
        <rFont val="Calibri"/>
        <family val="2"/>
      </rPr>
      <t>4</t>
    </r>
    <r>
      <rPr>
        <sz val="11"/>
        <rFont val="Calibri"/>
        <family val="2"/>
      </rPr>
      <t xml:space="preserve"> emissions tCO</t>
    </r>
    <r>
      <rPr>
        <vertAlign val="subscript"/>
        <sz val="11"/>
        <rFont val="Calibri"/>
        <family val="2"/>
      </rPr>
      <t>2</t>
    </r>
    <r>
      <rPr>
        <sz val="11"/>
        <rFont val="Calibri"/>
        <family val="2"/>
      </rPr>
      <t>e</t>
    </r>
  </si>
  <si>
    <t>Remarque: veuillez sélectionner la valeur appropriée dans la table en fonction du pays. Les utilisateurs peuvent également utiliser leur propre valeur s'il s'avere plus approprié. Veuillez fournir une référence</t>
  </si>
  <si>
    <t>Électricité</t>
  </si>
  <si>
    <r>
      <t>Coefficient d'émission d'électricité, kg CO</t>
    </r>
    <r>
      <rPr>
        <vertAlign val="subscript"/>
        <sz val="11"/>
        <rFont val="Calibri"/>
        <family val="2"/>
        <scheme val="minor"/>
      </rPr>
      <t>2</t>
    </r>
    <r>
      <rPr>
        <sz val="11"/>
        <rFont val="Calibri"/>
        <family val="2"/>
        <scheme val="minor"/>
      </rPr>
      <t>e/kWh</t>
    </r>
  </si>
  <si>
    <t>Grille d utilisation d'électricité , kWh/an</t>
  </si>
  <si>
    <t>Excédent d'électricité exportée aux logements / grilles des travailleurs, kWh/an</t>
  </si>
  <si>
    <r>
      <t>Emissions provenant  du réseau d'électricité utilisé, tCO</t>
    </r>
    <r>
      <rPr>
        <vertAlign val="subscript"/>
        <sz val="11"/>
        <rFont val="Calibri"/>
        <family val="2"/>
        <scheme val="minor"/>
      </rPr>
      <t>2</t>
    </r>
    <r>
      <rPr>
        <sz val="11"/>
        <rFont val="Calibri"/>
        <family val="2"/>
        <scheme val="minor"/>
      </rPr>
      <t>e/an</t>
    </r>
  </si>
  <si>
    <r>
      <t>Crédit provenant de l'électricité excédentaire exportée, tCO</t>
    </r>
    <r>
      <rPr>
        <vertAlign val="subscript"/>
        <sz val="11"/>
        <rFont val="Calibri"/>
        <family val="2"/>
        <scheme val="minor"/>
      </rPr>
      <t>2</t>
    </r>
    <r>
      <rPr>
        <sz val="11"/>
        <rFont val="Calibri"/>
        <family val="2"/>
        <scheme val="minor"/>
      </rPr>
      <t>e/an</t>
    </r>
  </si>
  <si>
    <t>Export de la biomasse pour la production d'énergie</t>
  </si>
  <si>
    <t>Production prevue de PKS  t/an</t>
  </si>
  <si>
    <t>Vente de PKS excédentaires pour la production d'énergie t/an</t>
  </si>
  <si>
    <t>Crédit de la vente de PKS tCO2e/an</t>
  </si>
  <si>
    <t>RAFLES produits t/an</t>
  </si>
  <si>
    <t>% RAFLES venduS pour la production d'électricité</t>
  </si>
  <si>
    <t>%RAFLES pour d'autres usages (par exemple brûlage dans la chaudière)</t>
  </si>
  <si>
    <t>Production d'énergie MJ/tRAFLES</t>
  </si>
  <si>
    <t xml:space="preserve">Crédit de la vente de RAFLES tCO2e/an </t>
  </si>
  <si>
    <t>Pays</t>
  </si>
  <si>
    <t>Bolivie</t>
  </si>
  <si>
    <t>Brésil</t>
  </si>
  <si>
    <t>Cambodge</t>
  </si>
  <si>
    <t>Cameroun</t>
  </si>
  <si>
    <t>Colombie</t>
  </si>
  <si>
    <t>Equateur</t>
  </si>
  <si>
    <t>Inde</t>
  </si>
  <si>
    <t>Indonésie</t>
  </si>
  <si>
    <t>Malaisie</t>
  </si>
  <si>
    <t>Pérou</t>
  </si>
  <si>
    <t>Thaïlande</t>
  </si>
  <si>
    <t>Données par défaut</t>
  </si>
  <si>
    <t>Cette feuille contient des facteurs de conversion standard, et des données qui sont nécessaires pour le calculateur, mais qui ne sont pas généralement disponibles auprès des producteurs d'huile de palme. Les valeurs pour les stocks de carbone dans les utilisations des terres seront mises à jour avec les valeurs fournies par GHGWG2 (WS3) une fois ces dernieres sont examinées par des pairs et publiées (Agus et al., Sous presse [25]).</t>
  </si>
  <si>
    <r>
      <t>Transport maritime kg CO</t>
    </r>
    <r>
      <rPr>
        <vertAlign val="subscript"/>
        <sz val="11"/>
        <color indexed="8"/>
        <rFont val="Calibri"/>
        <family val="2"/>
      </rPr>
      <t>2</t>
    </r>
    <r>
      <rPr>
        <sz val="11"/>
        <color indexed="8"/>
        <rFont val="Calibri"/>
        <family val="2"/>
      </rPr>
      <t>e/km.t</t>
    </r>
  </si>
  <si>
    <r>
      <t>Essence kg CO</t>
    </r>
    <r>
      <rPr>
        <vertAlign val="subscript"/>
        <sz val="11"/>
        <rFont val="Calibri"/>
        <family val="2"/>
      </rPr>
      <t>2</t>
    </r>
    <r>
      <rPr>
        <sz val="11"/>
        <rFont val="Calibri"/>
        <family val="2"/>
      </rPr>
      <t>e/l</t>
    </r>
  </si>
  <si>
    <r>
      <t>Production directe de N</t>
    </r>
    <r>
      <rPr>
        <vertAlign val="subscript"/>
        <sz val="11"/>
        <color indexed="8"/>
        <rFont val="Calibri"/>
        <family val="2"/>
      </rPr>
      <t>2</t>
    </r>
    <r>
      <rPr>
        <sz val="11"/>
        <color indexed="8"/>
        <rFont val="Calibri"/>
        <family val="2"/>
      </rPr>
      <t>O kgN</t>
    </r>
    <r>
      <rPr>
        <vertAlign val="subscript"/>
        <sz val="11"/>
        <color indexed="8"/>
        <rFont val="Calibri"/>
        <family val="2"/>
      </rPr>
      <t>2</t>
    </r>
    <r>
      <rPr>
        <sz val="11"/>
        <color indexed="8"/>
        <rFont val="Calibri"/>
        <family val="2"/>
      </rPr>
      <t>O-N/kg  N appliqué</t>
    </r>
  </si>
  <si>
    <r>
      <t>Production indirecte de N2O kgN</t>
    </r>
    <r>
      <rPr>
        <vertAlign val="subscript"/>
        <sz val="11"/>
        <color indexed="8"/>
        <rFont val="Calibri"/>
        <family val="2"/>
      </rPr>
      <t>2</t>
    </r>
    <r>
      <rPr>
        <sz val="11"/>
        <color indexed="8"/>
        <rFont val="Calibri"/>
        <family val="2"/>
      </rPr>
      <t>O-N/kg N perdue par ruissellement et lessivage</t>
    </r>
  </si>
  <si>
    <r>
      <t>Production indirecte de N2O kgN</t>
    </r>
    <r>
      <rPr>
        <vertAlign val="subscript"/>
        <sz val="11"/>
        <color indexed="8"/>
        <rFont val="Calibri"/>
        <family val="2"/>
      </rPr>
      <t>2</t>
    </r>
    <r>
      <rPr>
        <sz val="11"/>
        <color indexed="8"/>
        <rFont val="Calibri"/>
        <family val="2"/>
      </rPr>
      <t>O-N/kg N perdue par volatilisation</t>
    </r>
  </si>
  <si>
    <r>
      <t>Production direct et indirecte N2O provenant des sols tourbeux kgN</t>
    </r>
    <r>
      <rPr>
        <vertAlign val="subscript"/>
        <sz val="11"/>
        <color theme="1"/>
        <rFont val="Calibri"/>
        <family val="2"/>
        <scheme val="minor"/>
      </rPr>
      <t>2</t>
    </r>
    <r>
      <rPr>
        <sz val="11"/>
        <color theme="1"/>
        <rFont val="Calibri"/>
        <family val="2"/>
        <scheme val="minor"/>
      </rPr>
      <t>O-N/ha.an</t>
    </r>
  </si>
  <si>
    <r>
      <t>transport d'engrais kgCO</t>
    </r>
    <r>
      <rPr>
        <vertAlign val="subscript"/>
        <sz val="11"/>
        <rFont val="Calibri"/>
        <family val="2"/>
      </rPr>
      <t>2</t>
    </r>
    <r>
      <rPr>
        <sz val="11"/>
        <rFont val="Calibri"/>
        <family val="2"/>
      </rPr>
      <t>e/km.t</t>
    </r>
  </si>
  <si>
    <t>Facteur d'émission pour l'urée, tC / t d'urée</t>
  </si>
  <si>
    <t>Facteur d'émission pour le calcaire de magnésium au sol, tC/t GML</t>
  </si>
  <si>
    <t>Usine</t>
  </si>
  <si>
    <t>tEFFLUENTS/tREGIMES</t>
  </si>
  <si>
    <t>tRAFLES/tREGIMES</t>
  </si>
  <si>
    <r>
      <t>kgCH</t>
    </r>
    <r>
      <rPr>
        <vertAlign val="subscript"/>
        <sz val="11"/>
        <color theme="1"/>
        <rFont val="Calibri"/>
        <family val="2"/>
        <scheme val="minor"/>
      </rPr>
      <t>4</t>
    </r>
    <r>
      <rPr>
        <sz val="11"/>
        <color theme="1"/>
        <rFont val="Calibri"/>
        <family val="2"/>
        <scheme val="minor"/>
      </rPr>
      <t>/TEFFLUENTS</t>
    </r>
  </si>
  <si>
    <r>
      <t>CH</t>
    </r>
    <r>
      <rPr>
        <vertAlign val="subscript"/>
        <sz val="11"/>
        <color indexed="8"/>
        <rFont val="Calibri"/>
        <family val="2"/>
      </rPr>
      <t>4</t>
    </r>
    <r>
      <rPr>
        <sz val="11"/>
        <color indexed="8"/>
        <rFont val="Calibri"/>
        <family val="2"/>
      </rPr>
      <t xml:space="preserve"> perdu provenant de la digestion %</t>
    </r>
  </si>
  <si>
    <r>
      <t>CH</t>
    </r>
    <r>
      <rPr>
        <vertAlign val="subscript"/>
        <sz val="11"/>
        <rFont val="Calibri"/>
        <family val="2"/>
      </rPr>
      <t>4</t>
    </r>
    <r>
      <rPr>
        <sz val="11"/>
        <rFont val="Calibri"/>
        <family val="2"/>
      </rPr>
      <t xml:space="preserve"> provenant de la digestion détournée au brulage %</t>
    </r>
  </si>
  <si>
    <r>
      <t>CH</t>
    </r>
    <r>
      <rPr>
        <vertAlign val="subscript"/>
        <sz val="11"/>
        <rFont val="Calibri"/>
        <family val="2"/>
      </rPr>
      <t>4</t>
    </r>
    <r>
      <rPr>
        <sz val="11"/>
        <rFont val="Calibri"/>
        <family val="2"/>
      </rPr>
      <t xml:space="preserve"> perdu dans le moteur à gaz %</t>
    </r>
  </si>
  <si>
    <t xml:space="preserve"> Efficacité du Moteur à gaz %</t>
  </si>
  <si>
    <r>
      <t xml:space="preserve"> Valeur inférieure du pouvoir calorifique, MJ/kg CH</t>
    </r>
    <r>
      <rPr>
        <vertAlign val="subscript"/>
        <sz val="11"/>
        <rFont val="Calibri"/>
        <family val="2"/>
      </rPr>
      <t>4</t>
    </r>
  </si>
  <si>
    <r>
      <t>Valeur inférieure du pouvoir calorifique, LHV MJ/kg CH</t>
    </r>
    <r>
      <rPr>
        <vertAlign val="subscript"/>
        <sz val="11"/>
        <rFont val="Calibri"/>
        <family val="2"/>
      </rPr>
      <t>4</t>
    </r>
  </si>
  <si>
    <t>Crédit à l'exportation de la coque de PK comme substitut du charbon kg CO2e / t coque</t>
  </si>
  <si>
    <t xml:space="preserve"> Valeur inférieure du pouvoir calorifique des RAFLES MJ/kg (FW)</t>
  </si>
  <si>
    <t>Efficacité de la chaudière RAFLES  %</t>
  </si>
  <si>
    <t>Efficacité du turbine alternateur RAFLES %</t>
  </si>
  <si>
    <t>Consommation de diesel pour le transport routier des RAFLES  l/km.t</t>
  </si>
  <si>
    <t>Facteur de correction du modèle pour un lagon profond</t>
  </si>
  <si>
    <t>t CH4/t COD enlevée lors de la digestion</t>
  </si>
  <si>
    <t>Facteur de correction du modèle pour les incertitudes</t>
  </si>
  <si>
    <t>utilisation des terres antérieure</t>
  </si>
  <si>
    <t>Forêts perturbées</t>
  </si>
  <si>
    <t xml:space="preserve">
Formations arbustives</t>
  </si>
  <si>
    <t>Cultures d'arbres</t>
  </si>
  <si>
    <t>Perte de volatilisation de N %</t>
  </si>
  <si>
    <r>
      <t>Produit kgCO</t>
    </r>
    <r>
      <rPr>
        <vertAlign val="subscript"/>
        <sz val="11"/>
        <color indexed="8"/>
        <rFont val="Calibri"/>
        <family val="2"/>
      </rPr>
      <t>2</t>
    </r>
    <r>
      <rPr>
        <sz val="11"/>
        <color theme="1"/>
        <rFont val="Calibri"/>
        <family val="2"/>
        <scheme val="minor"/>
      </rPr>
      <t>e/t</t>
    </r>
  </si>
  <si>
    <r>
      <t>Emissions directes kgN</t>
    </r>
    <r>
      <rPr>
        <vertAlign val="subscript"/>
        <sz val="11"/>
        <color indexed="8"/>
        <rFont val="Calibri"/>
        <family val="2"/>
      </rPr>
      <t>2</t>
    </r>
    <r>
      <rPr>
        <sz val="11"/>
        <color theme="1"/>
        <rFont val="Calibri"/>
        <family val="2"/>
        <scheme val="minor"/>
      </rPr>
      <t>O/t engrais</t>
    </r>
  </si>
  <si>
    <r>
      <t>Emissions indirectes kgN</t>
    </r>
    <r>
      <rPr>
        <vertAlign val="subscript"/>
        <sz val="11"/>
        <color indexed="8"/>
        <rFont val="Calibri"/>
        <family val="2"/>
      </rPr>
      <t>2</t>
    </r>
    <r>
      <rPr>
        <sz val="11"/>
        <color theme="1"/>
        <rFont val="Calibri"/>
        <family val="2"/>
        <scheme val="minor"/>
      </rPr>
      <t>O/t engrais</t>
    </r>
  </si>
  <si>
    <r>
      <t>Emissions totales kgN</t>
    </r>
    <r>
      <rPr>
        <vertAlign val="subscript"/>
        <sz val="11"/>
        <color indexed="8"/>
        <rFont val="Calibri"/>
        <family val="2"/>
      </rPr>
      <t>2</t>
    </r>
    <r>
      <rPr>
        <sz val="11"/>
        <color theme="1"/>
        <rFont val="Calibri"/>
        <family val="2"/>
        <scheme val="minor"/>
      </rPr>
      <t>O/t engrais</t>
    </r>
  </si>
  <si>
    <r>
      <t>kgCO</t>
    </r>
    <r>
      <rPr>
        <vertAlign val="subscript"/>
        <sz val="11"/>
        <color indexed="8"/>
        <rFont val="Calibri"/>
        <family val="2"/>
      </rPr>
      <t>2</t>
    </r>
    <r>
      <rPr>
        <sz val="11"/>
        <color theme="1"/>
        <rFont val="Calibri"/>
        <family val="2"/>
        <scheme val="minor"/>
      </rPr>
      <t>e/t engrais</t>
    </r>
  </si>
  <si>
    <t>N perdue par ruissellement et lessivage %</t>
  </si>
  <si>
    <t>Paramètres par défaut tirées de l'Ecoinvent v2 (GES basés sur les informations de l' IPCC 2007-100 ans)</t>
  </si>
  <si>
    <t>Paramètres utilisés</t>
  </si>
  <si>
    <t>N de nitrate d'ammonium</t>
  </si>
  <si>
    <t>Nde chlorure d'ammonium</t>
  </si>
  <si>
    <t>N du phosphate de diammonium</t>
  </si>
  <si>
    <t>P2O5 du phosphate de diammonium</t>
  </si>
  <si>
    <t>P2O5de superphosphate triple</t>
  </si>
  <si>
    <t>P2O5 de la roche phosphatée</t>
  </si>
  <si>
    <t>K2O de sulfate de potassium</t>
  </si>
  <si>
    <t>K2O de muriate de potasse ou de chlorure de potassium</t>
  </si>
  <si>
    <t>K2O de divers K-engrais</t>
  </si>
  <si>
    <t xml:space="preserve">P2O5 de divers P-engrais </t>
  </si>
  <si>
    <t>N de divers N-engrais</t>
  </si>
  <si>
    <t>Ca à partir de chlorure de calcium à l'usine</t>
  </si>
  <si>
    <t>MgO à partir d'oxyde de magnésium à l'usine</t>
  </si>
  <si>
    <t>S de</t>
  </si>
  <si>
    <t>Cuà partir d'oxyde de cuivre à l'usine</t>
  </si>
  <si>
    <t>Feà partir de sulfate de fer à l'usine</t>
  </si>
  <si>
    <t>Bde l'oxyde de bore à l'usine</t>
  </si>
  <si>
    <t>Zn à partir d'oxyde de zinc à l'usine</t>
  </si>
  <si>
    <t>Cette feuille de travail est verrouillé pour empêcher les utilisateurs d'écraser accidentellement le contenu. Le mot de passe pour déverrouiller cette feuille de calcul est "default"</t>
  </si>
  <si>
    <t>Répartition des émissions nettes de produits de la culture</t>
  </si>
  <si>
    <t>Cette feuille alloue les émissions provenant des amandes de palmiste(PK) et de regimes (FFB) aux produits de la culture, par la masse.</t>
  </si>
  <si>
    <t>Taux d'extraction d'huile OER%</t>
  </si>
  <si>
    <t>% des émissions provenant de regimes (FFB) attribuables a l'huile de palme brute (CPO)</t>
  </si>
  <si>
    <t>Taux d'extraction d'amande de palmiste KER%</t>
  </si>
  <si>
    <t>% des émissions provenant de regimes (FFB)  attribuables aux amandes de palmiste (PK)</t>
  </si>
  <si>
    <r>
      <t xml:space="preserve">
Le calculateur GES du nouveau développement a été publié comme un outil supplémentaire de la procédure d'évaluation des GES de la RSPO concernant les nouvelles plantations. Les utilisateurs peuvent utiliser ce calculateur afin de remplir le  </t>
    </r>
    <r>
      <rPr>
        <sz val="14"/>
        <color rgb="FFFF3399"/>
        <rFont val="Calibri"/>
        <family val="2"/>
        <scheme val="minor"/>
      </rPr>
      <t>"Chapitre 4"</t>
    </r>
    <r>
      <rPr>
        <sz val="14"/>
        <color theme="1"/>
        <rFont val="Calibri"/>
        <family val="2"/>
        <scheme val="minor"/>
      </rPr>
      <t xml:space="preserve"> dans le but d'estimer les émissions de GES prévues provenant de nouvelles plantations et afin de créer également des différents scénarios d'émissions.Les paramètres de calcul dans ce calculateur Excel est semblable au calculateur PalmGHG RSPO mais ils ont été conçus pour être utilisés comme décrit dans la procédure d'évaluation des GES concernant les nouvelles plantations afin de répondre aux exigences du Critère 7.8 des P&amp;C RSPO 2013. Ce calculateur est disponible gratuitement sur le site web de la RSPO. </t>
    </r>
  </si>
  <si>
    <r>
      <rPr>
        <b/>
        <sz val="14"/>
        <color theme="3" tint="-0.249977111117893"/>
        <rFont val="Calibri"/>
        <family val="2"/>
        <scheme val="minor"/>
      </rPr>
      <t>Version: Aout 2016</t>
    </r>
    <r>
      <rPr>
        <b/>
        <sz val="14"/>
        <color theme="4"/>
        <rFont val="Calibri"/>
        <family val="2"/>
        <scheme val="minor"/>
      </rPr>
      <t xml:space="preserve">
Remarque</t>
    </r>
    <r>
      <rPr>
        <sz val="14"/>
        <color theme="1"/>
        <rFont val="Calibri"/>
        <family val="2"/>
        <scheme val="minor"/>
      </rPr>
      <t>:  Auparavant, une feuille de calcul Excel sous le nom “PalmGHG simplifié relatif a l'utilisation du C7.8” a été publiée et était destinée à être utilisé avec procédure d'évaluation des GES de la RSPO concernant les nouvelles plantations – Version: Décembre 2014. Ce document sur “Le calculateur GES du nouveau développement – Version: Aout 2016” remplace cette feuille de calcul. 
Ce document sur “Le calculateur GES du nouveau développement” a été adapté pour répondre aux exigences de la  “ Procédure d'évaluation des GES de la RSPO concernant les nouvelles plantations – Version: Aout 2016”.  La présentation du Calculateur a également été adaptée pour simplifier et clarifier le processus de saisie de données des utilisateurs.
RSPO apprécierait également qu'elle soit informée de tout problème avec l'utilisation du calculateur, et souhaiterait recevoir ces questions et d'autres commentaires afin que tous ces problèmes puissent être pris en considération dans les versions ultérieures du calculateur.  Les commentaires devraient être envoyés à rspo@rspo.org.</t>
    </r>
  </si>
  <si>
    <t>INSTRUCTIONS POUR L'UTILISATION DU CALCULATEUR DE GES DU NOUVEAU DÉVELOPPEMENT</t>
  </si>
  <si>
    <t>RSPO-PRO-T04-003 V2.0 FRE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</si>
</sst>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
    <numFmt numFmtId="166" formatCode="#,##0.0"/>
    <numFmt numFmtId="167" formatCode="#,##0.000"/>
    <numFmt numFmtId="168" formatCode="0.0000"/>
    <numFmt numFmtId="169" formatCode="_-* #,##0.00_-;_-* #,##0.00\-;_-* &quot;-&quot;??_-;_-@_-"/>
    <numFmt numFmtId="170" formatCode="0.00000"/>
  </numFmts>
  <fonts count="67" x14ac:knownFonts="1">
    <font>
      <sz val="11"/>
      <color theme="1"/>
      <name val="Calibri"/>
      <family val="2"/>
      <scheme val="minor"/>
    </font>
    <font>
      <sz val="12"/>
      <color theme="1"/>
      <name val="Calibri"/>
      <family val="2"/>
      <scheme val="minor"/>
    </font>
    <font>
      <sz val="11"/>
      <color indexed="8"/>
      <name val="Calibri"/>
      <family val="2"/>
    </font>
    <font>
      <b/>
      <sz val="8"/>
      <color indexed="81"/>
      <name val="Tahoma"/>
      <family val="2"/>
    </font>
    <font>
      <b/>
      <sz val="10"/>
      <color indexed="81"/>
      <name val="Tahoma"/>
      <family val="2"/>
    </font>
    <font>
      <b/>
      <sz val="9"/>
      <color indexed="81"/>
      <name val="Tahoma"/>
      <family val="2"/>
    </font>
    <font>
      <vertAlign val="subscript"/>
      <sz val="11"/>
      <color indexed="8"/>
      <name val="Calibri"/>
      <family val="2"/>
    </font>
    <font>
      <sz val="11"/>
      <name val="Calibri"/>
      <family val="2"/>
    </font>
    <font>
      <b/>
      <sz val="11"/>
      <name val="Calibri"/>
      <family val="2"/>
    </font>
    <font>
      <b/>
      <vertAlign val="subscript"/>
      <sz val="11"/>
      <name val="Calibri"/>
      <family val="2"/>
    </font>
    <font>
      <vertAlign val="subscript"/>
      <sz val="11"/>
      <name val="Calibri"/>
      <family val="2"/>
    </font>
    <font>
      <b/>
      <sz val="18"/>
      <color indexed="56"/>
      <name val="Cambria"/>
      <family val="2"/>
    </font>
    <font>
      <sz val="10"/>
      <name val="Arial"/>
      <family val="2"/>
    </font>
    <font>
      <u/>
      <sz val="10"/>
      <color indexed="12"/>
      <name val="Arial"/>
      <family val="2"/>
    </font>
    <font>
      <sz val="10"/>
      <name val="Arial"/>
      <family val="2"/>
    </font>
    <font>
      <sz val="8"/>
      <color indexed="81"/>
      <name val="Tahoma"/>
      <family val="2"/>
    </font>
    <font>
      <sz val="9"/>
      <color indexed="81"/>
      <name val="Tahoma"/>
      <family val="2"/>
    </font>
    <font>
      <sz val="10"/>
      <name val="Arial"/>
      <family val="2"/>
    </font>
    <font>
      <b/>
      <sz val="11"/>
      <color theme="1"/>
      <name val="Calibri"/>
      <family val="2"/>
      <scheme val="minor"/>
    </font>
    <font>
      <sz val="11"/>
      <color rgb="FFFF0000"/>
      <name val="Calibri"/>
      <family val="2"/>
      <scheme val="minor"/>
    </font>
    <font>
      <b/>
      <sz val="11"/>
      <color theme="5" tint="-0.249977111117893"/>
      <name val="Calibri"/>
      <family val="2"/>
      <scheme val="minor"/>
    </font>
    <font>
      <sz val="11"/>
      <color rgb="FF0070C0"/>
      <name val="Calibri"/>
      <family val="2"/>
      <scheme val="minor"/>
    </font>
    <font>
      <b/>
      <sz val="11"/>
      <color rgb="FF00B050"/>
      <name val="Calibri"/>
      <family val="2"/>
      <scheme val="minor"/>
    </font>
    <font>
      <b/>
      <sz val="11"/>
      <color rgb="FF0070C0"/>
      <name val="Calibri"/>
      <family val="2"/>
      <scheme val="minor"/>
    </font>
    <font>
      <b/>
      <sz val="11"/>
      <color rgb="FFFF0000"/>
      <name val="Calibri"/>
      <family val="2"/>
      <scheme val="minor"/>
    </font>
    <font>
      <sz val="11"/>
      <name val="Calibri"/>
      <family val="2"/>
      <scheme val="minor"/>
    </font>
    <font>
      <i/>
      <sz val="11"/>
      <color theme="1"/>
      <name val="Calibri"/>
      <family val="2"/>
      <scheme val="minor"/>
    </font>
    <font>
      <b/>
      <sz val="11"/>
      <color rgb="FFC00000"/>
      <name val="Calibri"/>
      <family val="2"/>
      <scheme val="minor"/>
    </font>
    <font>
      <b/>
      <sz val="11"/>
      <name val="Calibri"/>
      <family val="2"/>
      <scheme val="minor"/>
    </font>
    <font>
      <b/>
      <i/>
      <sz val="11"/>
      <color theme="1"/>
      <name val="Calibri"/>
      <family val="2"/>
      <scheme val="minor"/>
    </font>
    <font>
      <i/>
      <u/>
      <sz val="11"/>
      <color theme="1"/>
      <name val="Calibri"/>
      <family val="2"/>
      <scheme val="minor"/>
    </font>
    <font>
      <sz val="11"/>
      <color indexed="14"/>
      <name val="Calibri"/>
      <family val="2"/>
      <scheme val="minor"/>
    </font>
    <font>
      <i/>
      <u/>
      <sz val="11"/>
      <color indexed="61"/>
      <name val="Calibri"/>
      <family val="2"/>
      <scheme val="minor"/>
    </font>
    <font>
      <i/>
      <sz val="11"/>
      <name val="Calibri"/>
      <family val="2"/>
      <scheme val="minor"/>
    </font>
    <font>
      <b/>
      <i/>
      <sz val="11"/>
      <name val="Calibri"/>
      <family val="2"/>
      <scheme val="minor"/>
    </font>
    <font>
      <i/>
      <u/>
      <sz val="11"/>
      <name val="Calibri"/>
      <family val="2"/>
      <scheme val="minor"/>
    </font>
    <font>
      <b/>
      <sz val="10"/>
      <color rgb="FFC00000"/>
      <name val="Arial"/>
      <family val="2"/>
    </font>
    <font>
      <b/>
      <i/>
      <sz val="11"/>
      <color rgb="FF00B050"/>
      <name val="Calibri"/>
      <family val="2"/>
      <scheme val="minor"/>
    </font>
    <font>
      <b/>
      <sz val="12"/>
      <color rgb="FFFF0000"/>
      <name val="Calibri"/>
      <family val="2"/>
      <scheme val="minor"/>
    </font>
    <font>
      <vertAlign val="subscript"/>
      <sz val="11"/>
      <color theme="1"/>
      <name val="Calibri"/>
      <family val="2"/>
      <scheme val="minor"/>
    </font>
    <font>
      <vertAlign val="subscript"/>
      <sz val="11"/>
      <name val="Calibri"/>
      <family val="2"/>
      <scheme val="minor"/>
    </font>
    <font>
      <b/>
      <sz val="11"/>
      <color indexed="81"/>
      <name val="Calibri"/>
      <family val="2"/>
      <scheme val="minor"/>
    </font>
    <font>
      <b/>
      <sz val="11"/>
      <color theme="1"/>
      <name val="Arial"/>
      <family val="2"/>
    </font>
    <font>
      <sz val="11"/>
      <color theme="1"/>
      <name val="Arial"/>
      <family val="2"/>
    </font>
    <font>
      <sz val="11"/>
      <color rgb="FFFF0000"/>
      <name val="Arial"/>
      <family val="2"/>
    </font>
    <font>
      <b/>
      <sz val="11"/>
      <color rgb="FFFFFF00"/>
      <name val="Calibri"/>
      <family val="2"/>
      <scheme val="minor"/>
    </font>
    <font>
      <b/>
      <sz val="11"/>
      <color theme="4"/>
      <name val="Calibri"/>
      <family val="2"/>
      <scheme val="minor"/>
    </font>
    <font>
      <b/>
      <sz val="8"/>
      <color indexed="81"/>
      <name val="Calibri"/>
      <family val="2"/>
      <scheme val="minor"/>
    </font>
    <font>
      <sz val="11"/>
      <color rgb="FF00B050"/>
      <name val="Calibri"/>
      <family val="2"/>
      <scheme val="minor"/>
    </font>
    <font>
      <b/>
      <sz val="11"/>
      <color theme="3"/>
      <name val="Calibri"/>
      <family val="2"/>
      <scheme val="minor"/>
    </font>
    <font>
      <sz val="11"/>
      <color theme="0"/>
      <name val="Calibri"/>
      <family val="2"/>
      <scheme val="minor"/>
    </font>
    <font>
      <b/>
      <vertAlign val="subscript"/>
      <sz val="11"/>
      <color theme="1"/>
      <name val="Calibri"/>
      <family val="2"/>
      <scheme val="minor"/>
    </font>
    <font>
      <b/>
      <sz val="11"/>
      <name val="Arial"/>
      <family val="2"/>
    </font>
    <font>
      <i/>
      <sz val="11"/>
      <color rgb="FFFF0000"/>
      <name val="Calibri"/>
      <family val="2"/>
      <scheme val="minor"/>
    </font>
    <font>
      <b/>
      <u/>
      <sz val="26"/>
      <color theme="4"/>
      <name val="Calibri"/>
      <family val="2"/>
      <scheme val="minor"/>
    </font>
    <font>
      <sz val="14"/>
      <color theme="1"/>
      <name val="Calibri"/>
      <family val="2"/>
      <scheme val="minor"/>
    </font>
    <font>
      <sz val="14"/>
      <color rgb="FFFF3399"/>
      <name val="Calibri"/>
      <family val="2"/>
      <scheme val="minor"/>
    </font>
    <font>
      <b/>
      <sz val="14"/>
      <color theme="4"/>
      <name val="Calibri"/>
      <family val="2"/>
      <scheme val="minor"/>
    </font>
    <font>
      <u/>
      <sz val="11"/>
      <color theme="1"/>
      <name val="Calibri"/>
      <family val="2"/>
      <scheme val="minor"/>
    </font>
    <font>
      <sz val="12"/>
      <color rgb="FFFF0000"/>
      <name val="Calibri"/>
      <family val="2"/>
      <scheme val="minor"/>
    </font>
    <font>
      <sz val="10"/>
      <color theme="1"/>
      <name val="Calibri"/>
      <family val="2"/>
      <scheme val="minor"/>
    </font>
    <font>
      <sz val="14"/>
      <name val="Calibri"/>
      <family val="2"/>
      <scheme val="minor"/>
    </font>
    <font>
      <sz val="11"/>
      <color theme="0" tint="-0.34998626667073579"/>
      <name val="Calibri"/>
      <family val="2"/>
      <scheme val="minor"/>
    </font>
    <font>
      <b/>
      <u/>
      <sz val="26"/>
      <color theme="3" tint="-0.249977111117893"/>
      <name val="Calibri"/>
      <family val="2"/>
      <scheme val="minor"/>
    </font>
    <font>
      <b/>
      <sz val="14"/>
      <color theme="3" tint="-0.249977111117893"/>
      <name val="Calibri"/>
      <family val="2"/>
      <scheme val="minor"/>
    </font>
    <font>
      <b/>
      <u/>
      <sz val="24"/>
      <color theme="3" tint="-0.249977111117893"/>
      <name val="Calibri"/>
      <family val="2"/>
      <scheme val="minor"/>
    </font>
    <font>
      <sz val="10"/>
      <color rgb="FF000000"/>
      <name val="Arial"/>
      <family val="2"/>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34998626667073579"/>
        <bgColor indexed="64"/>
      </patternFill>
    </fill>
  </fills>
  <borders count="48">
    <border>
      <left/>
      <right/>
      <top/>
      <bottom/>
      <diagonal/>
    </border>
    <border>
      <left style="medium">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style="double">
        <color auto="1"/>
      </bottom>
      <diagonal/>
    </border>
    <border>
      <left/>
      <right/>
      <top/>
      <bottom style="double">
        <color auto="1"/>
      </bottom>
      <diagonal/>
    </border>
    <border>
      <left/>
      <right/>
      <top/>
      <bottom style="medium">
        <color auto="1"/>
      </bottom>
      <diagonal/>
    </border>
    <border>
      <left style="medium">
        <color rgb="FFC00000"/>
      </left>
      <right style="thin">
        <color auto="1"/>
      </right>
      <top style="medium">
        <color rgb="FFC00000"/>
      </top>
      <bottom style="thin">
        <color auto="1"/>
      </bottom>
      <diagonal/>
    </border>
    <border>
      <left style="thin">
        <color auto="1"/>
      </left>
      <right style="thin">
        <color auto="1"/>
      </right>
      <top style="medium">
        <color rgb="FFC00000"/>
      </top>
      <bottom style="thin">
        <color auto="1"/>
      </bottom>
      <diagonal/>
    </border>
    <border>
      <left style="thin">
        <color auto="1"/>
      </left>
      <right/>
      <top style="medium">
        <color rgb="FFC00000"/>
      </top>
      <bottom style="thin">
        <color auto="1"/>
      </bottom>
      <diagonal/>
    </border>
    <border>
      <left style="thin">
        <color auto="1"/>
      </left>
      <right style="medium">
        <color rgb="FFC00000"/>
      </right>
      <top style="medium">
        <color rgb="FFC00000"/>
      </top>
      <bottom style="thin">
        <color auto="1"/>
      </bottom>
      <diagonal/>
    </border>
    <border>
      <left style="medium">
        <color rgb="FFC00000"/>
      </left>
      <right style="thin">
        <color auto="1"/>
      </right>
      <top style="thin">
        <color auto="1"/>
      </top>
      <bottom style="thin">
        <color auto="1"/>
      </bottom>
      <diagonal/>
    </border>
    <border>
      <left style="thin">
        <color auto="1"/>
      </left>
      <right style="medium">
        <color rgb="FFC00000"/>
      </right>
      <top style="thin">
        <color auto="1"/>
      </top>
      <bottom style="thin">
        <color auto="1"/>
      </bottom>
      <diagonal/>
    </border>
    <border>
      <left style="medium">
        <color rgb="FFC00000"/>
      </left>
      <right style="thin">
        <color auto="1"/>
      </right>
      <top style="thin">
        <color auto="1"/>
      </top>
      <bottom style="medium">
        <color rgb="FFC00000"/>
      </bottom>
      <diagonal/>
    </border>
    <border>
      <left style="thin">
        <color auto="1"/>
      </left>
      <right style="thin">
        <color auto="1"/>
      </right>
      <top style="thin">
        <color auto="1"/>
      </top>
      <bottom style="medium">
        <color rgb="FFC00000"/>
      </bottom>
      <diagonal/>
    </border>
    <border>
      <left style="thin">
        <color auto="1"/>
      </left>
      <right/>
      <top style="thin">
        <color auto="1"/>
      </top>
      <bottom style="medium">
        <color rgb="FFC00000"/>
      </bottom>
      <diagonal/>
    </border>
    <border>
      <left style="thin">
        <color auto="1"/>
      </left>
      <right style="medium">
        <color rgb="FFC00000"/>
      </right>
      <top style="thin">
        <color auto="1"/>
      </top>
      <bottom style="medium">
        <color rgb="FFC00000"/>
      </bottom>
      <diagonal/>
    </border>
    <border>
      <left style="thick">
        <color theme="3" tint="-0.24994659260841701"/>
      </left>
      <right style="thick">
        <color theme="3" tint="-0.24994659260841701"/>
      </right>
      <top style="thick">
        <color theme="3" tint="-0.24994659260841701"/>
      </top>
      <bottom style="thick">
        <color theme="3" tint="-0.2499465926084170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11">
    <xf numFmtId="0" fontId="0" fillId="0" borderId="0"/>
    <xf numFmtId="169" fontId="12" fillId="0" borderId="0" applyFont="0" applyFill="0" applyBorder="0" applyAlignment="0" applyProtection="0"/>
    <xf numFmtId="169" fontId="14" fillId="0" borderId="0" applyFont="0" applyFill="0" applyBorder="0" applyAlignment="0" applyProtection="0"/>
    <xf numFmtId="0" fontId="13" fillId="0" borderId="0" applyNumberFormat="0" applyFill="0" applyBorder="0" applyAlignment="0" applyProtection="0">
      <alignment vertical="top"/>
      <protection locked="0"/>
    </xf>
    <xf numFmtId="0" fontId="12" fillId="0" borderId="0"/>
    <xf numFmtId="0" fontId="14" fillId="0" borderId="0"/>
    <xf numFmtId="0" fontId="17" fillId="0" borderId="0"/>
    <xf numFmtId="9" fontId="12"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0" fontId="11" fillId="0" borderId="0" applyNumberFormat="0" applyFill="0" applyBorder="0" applyAlignment="0" applyProtection="0"/>
  </cellStyleXfs>
  <cellXfs count="472">
    <xf numFmtId="0" fontId="0" fillId="0" borderId="0" xfId="0"/>
    <xf numFmtId="1" fontId="23" fillId="0" borderId="0" xfId="0" applyNumberFormat="1" applyFont="1"/>
    <xf numFmtId="164" fontId="23" fillId="0" borderId="0" xfId="0" applyNumberFormat="1" applyFont="1"/>
    <xf numFmtId="2" fontId="23" fillId="0" borderId="0" xfId="0" applyNumberFormat="1" applyFont="1"/>
    <xf numFmtId="164" fontId="22" fillId="0" borderId="0" xfId="0" applyNumberFormat="1" applyFont="1"/>
    <xf numFmtId="0" fontId="25" fillId="0" borderId="0" xfId="0" applyFont="1" applyAlignment="1">
      <alignment wrapText="1"/>
    </xf>
    <xf numFmtId="0" fontId="27" fillId="0" borderId="0" xfId="0" applyFont="1"/>
    <xf numFmtId="0" fontId="18" fillId="0" borderId="0" xfId="0" applyFont="1"/>
    <xf numFmtId="0" fontId="18" fillId="0" borderId="0" xfId="0" applyFont="1" applyFill="1"/>
    <xf numFmtId="0" fontId="22" fillId="0" borderId="0" xfId="0" applyFont="1"/>
    <xf numFmtId="0" fontId="25" fillId="0" borderId="0" xfId="0" applyFont="1"/>
    <xf numFmtId="0" fontId="0" fillId="0" borderId="0" xfId="0" applyFont="1"/>
    <xf numFmtId="0" fontId="28" fillId="0" borderId="0" xfId="0" applyFont="1" applyAlignment="1">
      <alignment wrapText="1"/>
    </xf>
    <xf numFmtId="0" fontId="0" fillId="0" borderId="0" xfId="0" applyFont="1" applyAlignment="1">
      <alignment wrapText="1"/>
    </xf>
    <xf numFmtId="0" fontId="25" fillId="0" borderId="0" xfId="0" applyFont="1" applyFill="1" applyBorder="1" applyAlignment="1">
      <alignment wrapText="1"/>
    </xf>
    <xf numFmtId="168" fontId="27" fillId="0" borderId="0" xfId="0" applyNumberFormat="1" applyFont="1" applyAlignment="1">
      <alignment horizontal="right" wrapText="1"/>
    </xf>
    <xf numFmtId="2" fontId="23" fillId="0" borderId="0" xfId="0" applyNumberFormat="1" applyFont="1" applyFill="1" applyBorder="1" applyAlignment="1">
      <alignment wrapText="1"/>
    </xf>
    <xf numFmtId="0" fontId="28" fillId="0" borderId="0" xfId="0" applyFont="1" applyFill="1" applyBorder="1" applyAlignment="1">
      <alignment wrapText="1"/>
    </xf>
    <xf numFmtId="0" fontId="0" fillId="0" borderId="0" xfId="0" applyFont="1" applyAlignment="1">
      <alignment horizontal="right"/>
    </xf>
    <xf numFmtId="0" fontId="0" fillId="0" borderId="0" xfId="0" applyFont="1" applyAlignment="1">
      <alignment horizontal="right" wrapText="1"/>
    </xf>
    <xf numFmtId="0" fontId="0" fillId="0" borderId="0" xfId="0" applyFont="1" applyAlignment="1">
      <alignment horizontal="left"/>
    </xf>
    <xf numFmtId="2" fontId="22" fillId="0" borderId="0" xfId="0" applyNumberFormat="1" applyFont="1"/>
    <xf numFmtId="0" fontId="26" fillId="0" borderId="0" xfId="0" applyFont="1"/>
    <xf numFmtId="0" fontId="0" fillId="0" borderId="0" xfId="0" applyFont="1" applyAlignment="1"/>
    <xf numFmtId="0" fontId="18" fillId="0" borderId="0" xfId="0" applyFont="1" applyAlignment="1">
      <alignment horizontal="left"/>
    </xf>
    <xf numFmtId="0" fontId="28" fillId="0" borderId="0" xfId="0" applyFont="1" applyBorder="1" applyAlignment="1"/>
    <xf numFmtId="0" fontId="25" fillId="0" borderId="0" xfId="0" applyFont="1" applyBorder="1" applyAlignment="1"/>
    <xf numFmtId="0" fontId="33" fillId="0" borderId="0" xfId="0" applyFont="1" applyBorder="1" applyAlignment="1"/>
    <xf numFmtId="164" fontId="22" fillId="0" borderId="0" xfId="0" applyNumberFormat="1" applyFont="1" applyAlignment="1">
      <alignment horizontal="right"/>
    </xf>
    <xf numFmtId="164" fontId="23" fillId="0" borderId="0" xfId="0" applyNumberFormat="1" applyFont="1" applyAlignment="1">
      <alignment horizontal="right"/>
    </xf>
    <xf numFmtId="3" fontId="23" fillId="0" borderId="0" xfId="0" applyNumberFormat="1" applyFont="1"/>
    <xf numFmtId="4" fontId="23" fillId="0" borderId="0" xfId="0" applyNumberFormat="1" applyFont="1"/>
    <xf numFmtId="167" fontId="27" fillId="0" borderId="0" xfId="0" applyNumberFormat="1" applyFont="1"/>
    <xf numFmtId="0" fontId="26" fillId="0" borderId="0" xfId="0" applyFont="1" applyFill="1"/>
    <xf numFmtId="0" fontId="26" fillId="0" borderId="0" xfId="0" applyFont="1" applyFill="1" applyAlignment="1">
      <alignment horizontal="center"/>
    </xf>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0" fillId="0" borderId="1" xfId="0" applyBorder="1" applyAlignment="1">
      <alignment horizontal="left" vertical="center" wrapText="1"/>
    </xf>
    <xf numFmtId="0" fontId="34" fillId="0" borderId="0" xfId="0" applyFont="1" applyBorder="1" applyAlignment="1"/>
    <xf numFmtId="0" fontId="0" fillId="0" borderId="0" xfId="0" applyAlignment="1">
      <alignment vertical="top" wrapText="1"/>
    </xf>
    <xf numFmtId="0" fontId="24" fillId="2" borderId="0" xfId="0" applyFont="1" applyFill="1" applyProtection="1">
      <protection locked="0"/>
    </xf>
    <xf numFmtId="0" fontId="0" fillId="0" borderId="0" xfId="0" applyFont="1" applyProtection="1">
      <protection locked="0"/>
    </xf>
    <xf numFmtId="0" fontId="0" fillId="0" borderId="0" xfId="0" applyFont="1" applyFill="1" applyProtection="1">
      <protection locked="0"/>
    </xf>
    <xf numFmtId="0" fontId="24" fillId="0" borderId="0" xfId="0" applyFont="1" applyFill="1" applyProtection="1">
      <protection locked="0"/>
    </xf>
    <xf numFmtId="1" fontId="24" fillId="2" borderId="0" xfId="0" applyNumberFormat="1" applyFont="1" applyFill="1" applyAlignment="1" applyProtection="1">
      <alignment wrapText="1"/>
      <protection locked="0"/>
    </xf>
    <xf numFmtId="3" fontId="24" fillId="0" borderId="0" xfId="0" applyNumberFormat="1" applyFont="1" applyFill="1" applyProtection="1">
      <protection locked="0"/>
    </xf>
    <xf numFmtId="1" fontId="27" fillId="0" borderId="0" xfId="0" applyNumberFormat="1" applyFont="1" applyFill="1" applyBorder="1" applyAlignment="1" applyProtection="1">
      <alignment wrapText="1"/>
      <protection locked="0"/>
    </xf>
    <xf numFmtId="165" fontId="27" fillId="0" borderId="0" xfId="0" applyNumberFormat="1" applyFont="1" applyAlignment="1" applyProtection="1">
      <alignment horizontal="right" wrapText="1"/>
      <protection locked="0"/>
    </xf>
    <xf numFmtId="168" fontId="27" fillId="0" borderId="0" xfId="0" applyNumberFormat="1" applyFont="1" applyAlignment="1" applyProtection="1">
      <alignment horizontal="right" wrapText="1"/>
      <protection locked="0"/>
    </xf>
    <xf numFmtId="164" fontId="27" fillId="0" borderId="0" xfId="0" applyNumberFormat="1" applyFont="1" applyAlignment="1" applyProtection="1">
      <alignment horizontal="right" wrapText="1"/>
      <protection locked="0"/>
    </xf>
    <xf numFmtId="0" fontId="27" fillId="0" borderId="0" xfId="0" applyFont="1" applyProtection="1">
      <protection locked="0"/>
    </xf>
    <xf numFmtId="166" fontId="27" fillId="0" borderId="0" xfId="0" applyNumberFormat="1" applyFont="1" applyProtection="1">
      <protection locked="0"/>
    </xf>
    <xf numFmtId="3" fontId="27" fillId="0" borderId="0" xfId="0" applyNumberFormat="1" applyFont="1" applyProtection="1">
      <protection locked="0"/>
    </xf>
    <xf numFmtId="167" fontId="27" fillId="0" borderId="0" xfId="0" applyNumberFormat="1" applyFont="1" applyProtection="1">
      <protection locked="0"/>
    </xf>
    <xf numFmtId="0" fontId="36" fillId="0" borderId="0" xfId="0" applyFont="1" applyProtection="1">
      <protection locked="0"/>
    </xf>
    <xf numFmtId="0" fontId="43" fillId="0" borderId="0" xfId="0" applyFont="1" applyAlignment="1">
      <alignment horizontal="left" vertical="top"/>
    </xf>
    <xf numFmtId="0" fontId="44" fillId="0" borderId="0" xfId="0" applyFont="1" applyAlignment="1">
      <alignment horizontal="left" vertical="top"/>
    </xf>
    <xf numFmtId="0" fontId="0" fillId="0" borderId="0" xfId="0" applyFont="1" applyAlignment="1">
      <alignment horizontal="left" vertical="top"/>
    </xf>
    <xf numFmtId="0" fontId="18" fillId="0" borderId="0" xfId="0" applyFont="1" applyFill="1" applyProtection="1">
      <protection locked="0"/>
    </xf>
    <xf numFmtId="0" fontId="26" fillId="0" borderId="0" xfId="0" applyFont="1" applyAlignment="1">
      <alignment wrapText="1"/>
    </xf>
    <xf numFmtId="4" fontId="22" fillId="0" borderId="0" xfId="0" applyNumberFormat="1" applyFont="1"/>
    <xf numFmtId="0" fontId="0" fillId="0" borderId="0" xfId="0" applyFont="1" applyProtection="1"/>
    <xf numFmtId="2" fontId="22" fillId="0" borderId="0" xfId="0" applyNumberFormat="1" applyFont="1" applyProtection="1"/>
    <xf numFmtId="164" fontId="23" fillId="0" borderId="0" xfId="0" applyNumberFormat="1" applyFont="1" applyProtection="1"/>
    <xf numFmtId="0" fontId="20" fillId="0" borderId="0" xfId="0" applyFont="1" applyProtection="1"/>
    <xf numFmtId="0" fontId="0" fillId="0" borderId="0" xfId="0" applyProtection="1"/>
    <xf numFmtId="0" fontId="22" fillId="0" borderId="0" xfId="0" applyFont="1" applyProtection="1"/>
    <xf numFmtId="2" fontId="23" fillId="0" borderId="0" xfId="0" applyNumberFormat="1" applyFont="1" applyProtection="1"/>
    <xf numFmtId="0" fontId="0" fillId="0" borderId="0" xfId="0" applyFont="1" applyAlignment="1" applyProtection="1">
      <alignment horizontal="right"/>
    </xf>
    <xf numFmtId="0" fontId="18" fillId="0" borderId="0" xfId="0" applyFont="1" applyProtection="1"/>
    <xf numFmtId="0" fontId="26" fillId="0" borderId="0" xfId="0" applyFont="1" applyProtection="1"/>
    <xf numFmtId="0" fontId="28" fillId="0" borderId="0" xfId="0" applyFont="1" applyAlignment="1" applyProtection="1">
      <alignment wrapText="1"/>
    </xf>
    <xf numFmtId="0" fontId="0" fillId="0" borderId="0" xfId="0" applyFont="1" applyAlignment="1" applyProtection="1">
      <alignment wrapText="1"/>
    </xf>
    <xf numFmtId="0" fontId="25" fillId="0" borderId="0" xfId="0" applyFont="1" applyFill="1" applyBorder="1" applyAlignment="1" applyProtection="1">
      <alignment wrapText="1"/>
    </xf>
    <xf numFmtId="2" fontId="22" fillId="0" borderId="0" xfId="0" applyNumberFormat="1" applyFont="1" applyFill="1" applyBorder="1" applyAlignment="1" applyProtection="1">
      <alignment wrapText="1"/>
    </xf>
    <xf numFmtId="0" fontId="0" fillId="0" borderId="0" xfId="0" applyFont="1" applyFill="1" applyProtection="1"/>
    <xf numFmtId="0" fontId="28" fillId="0" borderId="0" xfId="0" applyFont="1" applyProtection="1"/>
    <xf numFmtId="0" fontId="19" fillId="0" borderId="0" xfId="0" applyFont="1" applyProtection="1"/>
    <xf numFmtId="3" fontId="22" fillId="0" borderId="0" xfId="0" applyNumberFormat="1" applyFont="1" applyFill="1" applyBorder="1" applyAlignment="1" applyProtection="1">
      <alignment wrapText="1"/>
    </xf>
    <xf numFmtId="0" fontId="32" fillId="0" borderId="0" xfId="0" applyFont="1" applyAlignment="1" applyProtection="1">
      <alignment wrapText="1"/>
    </xf>
    <xf numFmtId="0" fontId="0" fillId="0" borderId="0" xfId="0" applyFont="1" applyAlignment="1" applyProtection="1">
      <alignment horizontal="right" wrapText="1"/>
    </xf>
    <xf numFmtId="3" fontId="23" fillId="0" borderId="0" xfId="0" applyNumberFormat="1" applyFont="1" applyProtection="1"/>
    <xf numFmtId="0" fontId="25" fillId="0" borderId="0" xfId="0" applyFont="1" applyFill="1" applyBorder="1" applyAlignment="1" applyProtection="1">
      <alignment horizontal="right"/>
    </xf>
    <xf numFmtId="164" fontId="21" fillId="0" borderId="0" xfId="0" applyNumberFormat="1" applyFont="1" applyProtection="1"/>
    <xf numFmtId="2" fontId="21" fillId="0" borderId="0" xfId="0" applyNumberFormat="1" applyFont="1" applyProtection="1"/>
    <xf numFmtId="0" fontId="0" fillId="0" borderId="0" xfId="0" applyFont="1" applyFill="1" applyBorder="1" applyAlignment="1" applyProtection="1">
      <alignment horizontal="right"/>
    </xf>
    <xf numFmtId="1" fontId="22" fillId="0" borderId="0" xfId="0" applyNumberFormat="1" applyFont="1" applyProtection="1"/>
    <xf numFmtId="0" fontId="25" fillId="0" borderId="0" xfId="0" applyFont="1" applyProtection="1"/>
    <xf numFmtId="0" fontId="0" fillId="0" borderId="0" xfId="0" applyFill="1" applyProtection="1"/>
    <xf numFmtId="0" fontId="24" fillId="0" borderId="0" xfId="0" applyFont="1" applyFill="1" applyAlignment="1" applyProtection="1">
      <alignment horizontal="right"/>
    </xf>
    <xf numFmtId="1" fontId="31" fillId="0" borderId="0" xfId="0" applyNumberFormat="1" applyFont="1" applyAlignment="1" applyProtection="1">
      <alignment wrapText="1"/>
    </xf>
    <xf numFmtId="0" fontId="0" fillId="0" borderId="0" xfId="0" applyFont="1" applyFill="1" applyAlignment="1" applyProtection="1">
      <alignment horizontal="right"/>
    </xf>
    <xf numFmtId="2" fontId="23" fillId="0" borderId="0" xfId="0" applyNumberFormat="1" applyFont="1" applyFill="1" applyProtection="1"/>
    <xf numFmtId="166" fontId="23" fillId="0" borderId="0" xfId="0" applyNumberFormat="1" applyFont="1" applyFill="1" applyProtection="1"/>
    <xf numFmtId="0" fontId="0" fillId="0" borderId="0" xfId="0" applyFont="1" applyAlignment="1" applyProtection="1">
      <alignment horizontal="right"/>
      <protection locked="0"/>
    </xf>
    <xf numFmtId="166" fontId="23" fillId="0" borderId="0" xfId="0" applyNumberFormat="1" applyFont="1" applyFill="1" applyProtection="1">
      <protection locked="0"/>
    </xf>
    <xf numFmtId="3" fontId="23" fillId="0" borderId="0" xfId="0" applyNumberFormat="1" applyFont="1" applyFill="1" applyProtection="1">
      <protection locked="0"/>
    </xf>
    <xf numFmtId="0" fontId="37" fillId="0" borderId="0" xfId="0" applyFont="1" applyProtection="1">
      <protection locked="0"/>
    </xf>
    <xf numFmtId="0" fontId="0" fillId="0" borderId="0" xfId="0" applyBorder="1" applyAlignment="1"/>
    <xf numFmtId="0" fontId="28" fillId="0" borderId="0" xfId="0" applyFont="1" applyFill="1" applyProtection="1"/>
    <xf numFmtId="0" fontId="25" fillId="0" borderId="0" xfId="0" applyFont="1" applyFill="1" applyAlignment="1" applyProtection="1">
      <alignment wrapText="1"/>
    </xf>
    <xf numFmtId="0" fontId="20" fillId="0" borderId="0" xfId="0" applyFont="1" applyFill="1" applyProtection="1"/>
    <xf numFmtId="0" fontId="33" fillId="0" borderId="0" xfId="0" applyFont="1" applyFill="1" applyProtection="1"/>
    <xf numFmtId="0" fontId="0" fillId="0" borderId="0" xfId="0" applyFont="1" applyFill="1" applyAlignment="1" applyProtection="1">
      <alignment vertical="top" wrapText="1"/>
    </xf>
    <xf numFmtId="0" fontId="23" fillId="0" borderId="0" xfId="0" applyFont="1" applyFill="1" applyProtection="1"/>
    <xf numFmtId="2" fontId="22" fillId="0" borderId="0" xfId="0" applyNumberFormat="1" applyFont="1" applyFill="1" applyProtection="1"/>
    <xf numFmtId="164" fontId="23" fillId="0" borderId="0" xfId="0" applyNumberFormat="1" applyFont="1" applyFill="1" applyProtection="1"/>
    <xf numFmtId="0" fontId="22" fillId="0" borderId="0" xfId="0" applyFont="1" applyFill="1" applyProtection="1"/>
    <xf numFmtId="1" fontId="23" fillId="0" borderId="0" xfId="0" applyNumberFormat="1" applyFont="1" applyFill="1" applyProtection="1"/>
    <xf numFmtId="0" fontId="0" fillId="0" borderId="0" xfId="0" applyFill="1" applyAlignment="1" applyProtection="1">
      <alignment horizontal="right"/>
    </xf>
    <xf numFmtId="3" fontId="23" fillId="0" borderId="0" xfId="0" applyNumberFormat="1" applyFont="1" applyFill="1" applyAlignment="1" applyProtection="1">
      <alignment horizontal="right"/>
    </xf>
    <xf numFmtId="1" fontId="22" fillId="0" borderId="0" xfId="0" applyNumberFormat="1" applyFont="1" applyFill="1" applyBorder="1" applyProtection="1"/>
    <xf numFmtId="0" fontId="18" fillId="0" borderId="0" xfId="0" applyFont="1" applyFill="1" applyProtection="1"/>
    <xf numFmtId="2" fontId="21" fillId="0" borderId="0" xfId="0" applyNumberFormat="1" applyFont="1" applyFill="1" applyProtection="1"/>
    <xf numFmtId="0" fontId="0" fillId="0" borderId="0" xfId="0" applyFont="1" applyFill="1" applyAlignment="1" applyProtection="1">
      <alignment horizontal="left" wrapText="1"/>
    </xf>
    <xf numFmtId="0" fontId="25" fillId="0" borderId="0" xfId="0" applyFont="1" applyFill="1" applyProtection="1"/>
    <xf numFmtId="0" fontId="22" fillId="0" borderId="0" xfId="0" applyFont="1" applyFill="1" applyBorder="1" applyAlignment="1" applyProtection="1">
      <alignment horizontal="right"/>
    </xf>
    <xf numFmtId="3" fontId="22" fillId="0" borderId="0" xfId="0" applyNumberFormat="1" applyFont="1" applyFill="1" applyProtection="1"/>
    <xf numFmtId="0" fontId="25" fillId="0" borderId="0" xfId="0" applyFont="1" applyFill="1" applyBorder="1" applyAlignment="1" applyProtection="1">
      <alignment horizontal="left"/>
    </xf>
    <xf numFmtId="0" fontId="0" fillId="0" borderId="0" xfId="0" applyFont="1" applyFill="1" applyBorder="1" applyAlignment="1" applyProtection="1">
      <alignment horizontal="left"/>
    </xf>
    <xf numFmtId="1" fontId="19" fillId="0" borderId="0" xfId="0" applyNumberFormat="1" applyFont="1" applyFill="1" applyBorder="1" applyAlignment="1" applyProtection="1">
      <alignment horizontal="right"/>
    </xf>
    <xf numFmtId="0" fontId="19" fillId="0" borderId="0" xfId="0" applyFont="1" applyFill="1" applyBorder="1" applyAlignment="1" applyProtection="1">
      <alignment horizontal="right"/>
    </xf>
    <xf numFmtId="0" fontId="0" fillId="0" borderId="0" xfId="0" applyFill="1" applyAlignment="1" applyProtection="1">
      <alignment horizontal="left"/>
    </xf>
    <xf numFmtId="3" fontId="22" fillId="0" borderId="0" xfId="0" applyNumberFormat="1" applyFont="1" applyFill="1" applyBorder="1" applyAlignment="1" applyProtection="1">
      <alignment horizontal="right"/>
    </xf>
    <xf numFmtId="1" fontId="21" fillId="0" borderId="0" xfId="0" applyNumberFormat="1" applyFont="1" applyFill="1" applyBorder="1" applyAlignment="1" applyProtection="1">
      <alignment horizontal="right"/>
    </xf>
    <xf numFmtId="3" fontId="22" fillId="0" borderId="0" xfId="0" applyNumberFormat="1" applyFont="1" applyFill="1" applyBorder="1" applyProtection="1"/>
    <xf numFmtId="164" fontId="21" fillId="0" borderId="0" xfId="0" applyNumberFormat="1" applyFont="1" applyFill="1" applyProtection="1"/>
    <xf numFmtId="0" fontId="0" fillId="0" borderId="0" xfId="0" applyFont="1" applyFill="1" applyAlignment="1" applyProtection="1">
      <alignment horizontal="right" wrapText="1"/>
    </xf>
    <xf numFmtId="164" fontId="23" fillId="0" borderId="0" xfId="0" applyNumberFormat="1" applyFont="1" applyFill="1" applyProtection="1">
      <protection locked="0"/>
    </xf>
    <xf numFmtId="0" fontId="29" fillId="0" borderId="0" xfId="0" applyFont="1" applyFill="1" applyProtection="1"/>
    <xf numFmtId="0" fontId="0" fillId="0" borderId="0" xfId="0" applyFill="1" applyAlignment="1" applyProtection="1"/>
    <xf numFmtId="2" fontId="25" fillId="0" borderId="0" xfId="0" applyNumberFormat="1" applyFont="1" applyFill="1" applyBorder="1" applyProtection="1"/>
    <xf numFmtId="0" fontId="35" fillId="0" borderId="0" xfId="0" applyFont="1" applyFill="1" applyProtection="1"/>
    <xf numFmtId="4" fontId="23" fillId="0" borderId="0" xfId="0" applyNumberFormat="1" applyFont="1" applyFill="1" applyProtection="1"/>
    <xf numFmtId="166" fontId="22" fillId="0" borderId="0" xfId="0" applyNumberFormat="1" applyFont="1" applyFill="1" applyProtection="1"/>
    <xf numFmtId="167" fontId="22" fillId="0" borderId="0" xfId="0" applyNumberFormat="1" applyFont="1" applyFill="1" applyProtection="1"/>
    <xf numFmtId="3" fontId="0" fillId="0" borderId="0" xfId="0" applyNumberFormat="1"/>
    <xf numFmtId="0" fontId="27" fillId="0" borderId="0" xfId="0" applyFont="1" applyFill="1" applyBorder="1" applyAlignment="1" applyProtection="1">
      <alignment wrapText="1"/>
      <protection locked="0"/>
    </xf>
    <xf numFmtId="2" fontId="27" fillId="0" borderId="0" xfId="0" applyNumberFormat="1" applyFont="1" applyFill="1" applyBorder="1" applyAlignment="1" applyProtection="1">
      <alignment wrapText="1"/>
      <protection locked="0"/>
    </xf>
    <xf numFmtId="0" fontId="0" fillId="0" borderId="0" xfId="0" applyFont="1" applyFill="1"/>
    <xf numFmtId="2" fontId="45" fillId="0" borderId="0" xfId="0" applyNumberFormat="1" applyFont="1" applyFill="1" applyProtection="1"/>
    <xf numFmtId="1" fontId="23" fillId="0" borderId="0" xfId="0" applyNumberFormat="1" applyFont="1" applyProtection="1"/>
    <xf numFmtId="3" fontId="24" fillId="0" borderId="0" xfId="0" applyNumberFormat="1" applyFont="1" applyFill="1" applyBorder="1" applyAlignment="1" applyProtection="1">
      <alignment horizontal="right"/>
    </xf>
    <xf numFmtId="0" fontId="23" fillId="0" borderId="0" xfId="0" applyFont="1" applyProtection="1"/>
    <xf numFmtId="4" fontId="0" fillId="0" borderId="0" xfId="0" applyNumberFormat="1"/>
    <xf numFmtId="0" fontId="25" fillId="5" borderId="0" xfId="0" applyFont="1" applyFill="1" applyAlignment="1" applyProtection="1">
      <alignment wrapText="1"/>
    </xf>
    <xf numFmtId="3" fontId="46" fillId="5" borderId="0" xfId="0" applyNumberFormat="1" applyFont="1" applyFill="1" applyProtection="1">
      <protection locked="0"/>
    </xf>
    <xf numFmtId="0" fontId="0" fillId="6" borderId="0" xfId="0" applyFont="1" applyFill="1" applyProtection="1"/>
    <xf numFmtId="164" fontId="23" fillId="6" borderId="0" xfId="0" applyNumberFormat="1" applyFont="1" applyFill="1" applyProtection="1"/>
    <xf numFmtId="2" fontId="23" fillId="6" borderId="0" xfId="0" applyNumberFormat="1" applyFont="1" applyFill="1" applyProtection="1"/>
    <xf numFmtId="0" fontId="0" fillId="6" borderId="0" xfId="0" applyFill="1" applyProtection="1"/>
    <xf numFmtId="0" fontId="0" fillId="0" borderId="0" xfId="0" applyFill="1"/>
    <xf numFmtId="0" fontId="27" fillId="0" borderId="0" xfId="0" applyFont="1" applyFill="1" applyBorder="1"/>
    <xf numFmtId="164" fontId="27" fillId="0" borderId="0" xfId="0" applyNumberFormat="1" applyFont="1" applyFill="1" applyBorder="1"/>
    <xf numFmtId="0" fontId="37" fillId="6" borderId="0" xfId="0" applyFont="1" applyFill="1" applyProtection="1"/>
    <xf numFmtId="0" fontId="22" fillId="6" borderId="0" xfId="0" applyFont="1" applyFill="1" applyProtection="1"/>
    <xf numFmtId="0" fontId="0" fillId="6" borderId="0" xfId="0" applyFont="1" applyFill="1" applyAlignment="1" applyProtection="1">
      <alignment horizontal="right"/>
    </xf>
    <xf numFmtId="0" fontId="23" fillId="6" borderId="0" xfId="0" applyFont="1" applyFill="1" applyProtection="1"/>
    <xf numFmtId="3" fontId="23" fillId="6" borderId="0" xfId="0" applyNumberFormat="1" applyFont="1" applyFill="1" applyProtection="1">
      <protection locked="0"/>
    </xf>
    <xf numFmtId="1" fontId="22" fillId="6" borderId="0" xfId="0" applyNumberFormat="1" applyFont="1" applyFill="1" applyProtection="1"/>
    <xf numFmtId="0" fontId="26" fillId="6" borderId="0" xfId="0" applyFont="1" applyFill="1" applyProtection="1"/>
    <xf numFmtId="0" fontId="0" fillId="6" borderId="0" xfId="0" applyFont="1" applyFill="1" applyAlignment="1" applyProtection="1">
      <alignment horizontal="left" wrapText="1"/>
    </xf>
    <xf numFmtId="2" fontId="21" fillId="6" borderId="0" xfId="0" applyNumberFormat="1" applyFont="1" applyFill="1" applyProtection="1"/>
    <xf numFmtId="0" fontId="0" fillId="6" borderId="0" xfId="0" applyFill="1" applyAlignment="1" applyProtection="1">
      <alignment horizontal="right"/>
    </xf>
    <xf numFmtId="3" fontId="24" fillId="6" borderId="0" xfId="0" applyNumberFormat="1" applyFont="1" applyFill="1" applyProtection="1">
      <protection locked="0"/>
    </xf>
    <xf numFmtId="166" fontId="23" fillId="6" borderId="0" xfId="0" applyNumberFormat="1" applyFont="1" applyFill="1" applyProtection="1"/>
    <xf numFmtId="0" fontId="24" fillId="6" borderId="0" xfId="0" applyFont="1" applyFill="1" applyProtection="1"/>
    <xf numFmtId="0" fontId="37" fillId="6" borderId="0" xfId="0" applyFont="1" applyFill="1" applyProtection="1">
      <protection locked="0"/>
    </xf>
    <xf numFmtId="0" fontId="30" fillId="6" borderId="0" xfId="0" applyFont="1" applyFill="1" applyAlignment="1" applyProtection="1">
      <alignment horizontal="left" wrapText="1"/>
    </xf>
    <xf numFmtId="2" fontId="22" fillId="6" borderId="0" xfId="0" applyNumberFormat="1" applyFont="1" applyFill="1" applyProtection="1"/>
    <xf numFmtId="1" fontId="24" fillId="6" borderId="0" xfId="0" applyNumberFormat="1" applyFont="1" applyFill="1" applyProtection="1"/>
    <xf numFmtId="0" fontId="21" fillId="6" borderId="0" xfId="0" applyFont="1" applyFill="1" applyProtection="1">
      <protection locked="0"/>
    </xf>
    <xf numFmtId="0" fontId="34" fillId="6" borderId="0" xfId="0" applyFont="1" applyFill="1" applyProtection="1">
      <protection locked="0"/>
    </xf>
    <xf numFmtId="0" fontId="0" fillId="6" borderId="0" xfId="0" applyFont="1" applyFill="1" applyAlignment="1" applyProtection="1">
      <alignment horizontal="right"/>
      <protection locked="0"/>
    </xf>
    <xf numFmtId="1" fontId="22" fillId="6" borderId="0" xfId="0" applyNumberFormat="1" applyFont="1" applyFill="1" applyBorder="1" applyProtection="1"/>
    <xf numFmtId="0" fontId="33" fillId="6" borderId="0" xfId="0" applyFont="1" applyFill="1" applyProtection="1"/>
    <xf numFmtId="0" fontId="0" fillId="6" borderId="0" xfId="0" applyFont="1" applyFill="1" applyAlignment="1" applyProtection="1">
      <alignment vertical="top" wrapText="1"/>
    </xf>
    <xf numFmtId="1" fontId="23" fillId="6" borderId="0" xfId="0" applyNumberFormat="1" applyFont="1" applyFill="1" applyAlignment="1" applyProtection="1">
      <alignment horizontal="right"/>
    </xf>
    <xf numFmtId="0" fontId="18" fillId="0" borderId="0" xfId="0" applyFont="1" applyFill="1" applyAlignment="1" applyProtection="1"/>
    <xf numFmtId="0" fontId="0" fillId="0" borderId="0" xfId="0" applyFill="1" applyAlignment="1">
      <alignment wrapText="1"/>
    </xf>
    <xf numFmtId="0" fontId="0" fillId="0" borderId="0" xfId="0" applyFont="1" applyFill="1" applyBorder="1" applyAlignment="1" applyProtection="1">
      <alignment horizontal="left" wrapText="1"/>
    </xf>
    <xf numFmtId="166" fontId="27" fillId="0" borderId="0" xfId="0" applyNumberFormat="1" applyFont="1" applyFill="1" applyProtection="1">
      <protection locked="0"/>
    </xf>
    <xf numFmtId="3" fontId="27" fillId="0" borderId="0" xfId="0" applyNumberFormat="1" applyFont="1" applyFill="1" applyProtection="1">
      <protection locked="0"/>
    </xf>
    <xf numFmtId="167" fontId="27" fillId="0" borderId="0" xfId="0" applyNumberFormat="1" applyFont="1" applyFill="1" applyProtection="1">
      <protection locked="0"/>
    </xf>
    <xf numFmtId="0" fontId="27" fillId="0" borderId="0" xfId="0" applyFont="1" applyFill="1"/>
    <xf numFmtId="0" fontId="42" fillId="0" borderId="0" xfId="0" applyFont="1"/>
    <xf numFmtId="164" fontId="0" fillId="0" borderId="0" xfId="0" applyNumberFormat="1"/>
    <xf numFmtId="0" fontId="24" fillId="2" borderId="0" xfId="0" applyFont="1" applyFill="1"/>
    <xf numFmtId="168" fontId="23" fillId="0" borderId="0" xfId="0" applyNumberFormat="1" applyFont="1" applyFill="1" applyProtection="1"/>
    <xf numFmtId="0" fontId="0" fillId="0" borderId="0" xfId="0" applyAlignment="1">
      <alignment vertical="center"/>
    </xf>
    <xf numFmtId="0" fontId="0" fillId="0" borderId="16" xfId="0" applyBorder="1"/>
    <xf numFmtId="0" fontId="23" fillId="0" borderId="0" xfId="0" applyFont="1" applyFill="1" applyAlignment="1" applyProtection="1">
      <alignment horizontal="right"/>
    </xf>
    <xf numFmtId="0" fontId="23" fillId="0" borderId="0" xfId="0" applyFont="1" applyFill="1" applyAlignment="1" applyProtection="1">
      <alignment horizontal="right"/>
      <protection locked="0"/>
    </xf>
    <xf numFmtId="0" fontId="23" fillId="0" borderId="0" xfId="0" applyFont="1" applyFill="1" applyBorder="1" applyAlignment="1" applyProtection="1">
      <alignment horizontal="right" wrapText="1"/>
    </xf>
    <xf numFmtId="0" fontId="0" fillId="2" borderId="16" xfId="0" applyFill="1" applyBorder="1"/>
    <xf numFmtId="0" fontId="28" fillId="0" borderId="0" xfId="0" applyFont="1" applyFill="1" applyBorder="1" applyAlignment="1" applyProtection="1">
      <alignment wrapText="1"/>
    </xf>
    <xf numFmtId="0" fontId="28" fillId="0" borderId="0" xfId="0" applyFont="1" applyProtection="1">
      <protection locked="0"/>
    </xf>
    <xf numFmtId="0" fontId="8" fillId="0" borderId="0" xfId="0" applyFont="1" applyAlignment="1" applyProtection="1">
      <alignment wrapText="1"/>
    </xf>
    <xf numFmtId="0" fontId="25" fillId="0" borderId="0" xfId="0" applyFont="1" applyFill="1" applyBorder="1" applyAlignment="1" applyProtection="1">
      <alignment vertical="center" wrapText="1"/>
    </xf>
    <xf numFmtId="4" fontId="23" fillId="0" borderId="0" xfId="0" applyNumberFormat="1" applyFont="1" applyProtection="1"/>
    <xf numFmtId="0" fontId="22" fillId="0" borderId="1" xfId="0" applyFont="1" applyBorder="1"/>
    <xf numFmtId="2" fontId="22" fillId="0" borderId="18" xfId="0" applyNumberFormat="1" applyFont="1" applyBorder="1"/>
    <xf numFmtId="0" fontId="24" fillId="2" borderId="1" xfId="0" applyFont="1" applyFill="1" applyBorder="1"/>
    <xf numFmtId="0" fontId="24" fillId="2" borderId="19" xfId="0" applyFont="1" applyFill="1" applyBorder="1"/>
    <xf numFmtId="0" fontId="22" fillId="0" borderId="20" xfId="0" applyFont="1" applyBorder="1"/>
    <xf numFmtId="0" fontId="0" fillId="0" borderId="14" xfId="0" applyBorder="1"/>
    <xf numFmtId="0" fontId="22" fillId="0" borderId="0" xfId="0" applyFont="1" applyFill="1" applyAlignment="1" applyProtection="1">
      <alignment horizontal="right"/>
    </xf>
    <xf numFmtId="0" fontId="22" fillId="0" borderId="0" xfId="0" applyFont="1" applyFill="1" applyAlignment="1" applyProtection="1">
      <alignment horizontal="right"/>
      <protection locked="0"/>
    </xf>
    <xf numFmtId="0" fontId="0" fillId="0" borderId="0" xfId="0" applyFont="1" applyBorder="1" applyProtection="1">
      <protection locked="0"/>
    </xf>
    <xf numFmtId="3" fontId="46" fillId="5" borderId="0" xfId="0" applyNumberFormat="1" applyFont="1" applyFill="1" applyBorder="1" applyProtection="1">
      <protection locked="0"/>
    </xf>
    <xf numFmtId="164" fontId="23" fillId="0" borderId="0" xfId="0" applyNumberFormat="1" applyFont="1" applyFill="1" applyBorder="1" applyProtection="1"/>
    <xf numFmtId="0" fontId="22" fillId="0" borderId="0" xfId="0" applyFont="1" applyFill="1" applyBorder="1" applyProtection="1">
      <protection locked="0"/>
    </xf>
    <xf numFmtId="166" fontId="23" fillId="0" borderId="0" xfId="0" applyNumberFormat="1" applyFont="1" applyFill="1" applyBorder="1" applyProtection="1"/>
    <xf numFmtId="0" fontId="0" fillId="0" borderId="0" xfId="0" applyFont="1" applyBorder="1" applyProtection="1"/>
    <xf numFmtId="3" fontId="24" fillId="0" borderId="0" xfId="0" applyNumberFormat="1" applyFont="1" applyFill="1" applyBorder="1" applyProtection="1">
      <protection locked="0"/>
    </xf>
    <xf numFmtId="0" fontId="24" fillId="0" borderId="0" xfId="0" applyFont="1" applyFill="1" applyBorder="1" applyAlignment="1" applyProtection="1">
      <alignment horizontal="right"/>
    </xf>
    <xf numFmtId="0" fontId="0" fillId="0" borderId="16" xfId="0" applyFill="1" applyBorder="1" applyAlignment="1" applyProtection="1">
      <alignment horizontal="center"/>
    </xf>
    <xf numFmtId="0" fontId="0" fillId="0" borderId="16" xfId="0" applyFont="1" applyFill="1" applyBorder="1" applyAlignment="1" applyProtection="1">
      <alignment horizontal="center"/>
    </xf>
    <xf numFmtId="0" fontId="0" fillId="0" borderId="16" xfId="0" applyFont="1" applyFill="1" applyBorder="1" applyAlignment="1" applyProtection="1">
      <alignment horizontal="right"/>
    </xf>
    <xf numFmtId="3" fontId="23" fillId="0" borderId="0" xfId="0" applyNumberFormat="1" applyFont="1" applyFill="1" applyBorder="1" applyProtection="1">
      <protection locked="0"/>
    </xf>
    <xf numFmtId="3" fontId="22" fillId="0" borderId="0" xfId="0" applyNumberFormat="1" applyFont="1" applyFill="1"/>
    <xf numFmtId="4" fontId="23" fillId="0" borderId="0" xfId="0" applyNumberFormat="1" applyFont="1" applyFill="1"/>
    <xf numFmtId="3" fontId="23" fillId="0" borderId="0" xfId="0" applyNumberFormat="1" applyFont="1" applyFill="1"/>
    <xf numFmtId="0" fontId="0" fillId="0" borderId="0" xfId="0" applyFont="1" applyFill="1" applyAlignment="1" applyProtection="1">
      <alignment horizontal="left"/>
    </xf>
    <xf numFmtId="0" fontId="0" fillId="0" borderId="0" xfId="0" applyFill="1" applyBorder="1" applyAlignment="1" applyProtection="1">
      <alignment horizontal="left"/>
    </xf>
    <xf numFmtId="166" fontId="28" fillId="0" borderId="0" xfId="0" applyNumberFormat="1" applyFont="1" applyFill="1" applyAlignment="1" applyProtection="1">
      <alignment horizontal="right"/>
      <protection locked="0"/>
    </xf>
    <xf numFmtId="4" fontId="23" fillId="0" borderId="22" xfId="0" applyNumberFormat="1" applyFont="1" applyFill="1" applyBorder="1" applyProtection="1">
      <protection locked="0"/>
    </xf>
    <xf numFmtId="4" fontId="23" fillId="0" borderId="22" xfId="0" applyNumberFormat="1" applyFont="1" applyFill="1" applyBorder="1" applyProtection="1"/>
    <xf numFmtId="4" fontId="23" fillId="0" borderId="0" xfId="0" applyNumberFormat="1" applyFont="1" applyFill="1" applyProtection="1">
      <protection locked="0"/>
    </xf>
    <xf numFmtId="4" fontId="23" fillId="0" borderId="16" xfId="0" applyNumberFormat="1" applyFont="1" applyFill="1" applyBorder="1" applyProtection="1"/>
    <xf numFmtId="4" fontId="24" fillId="2" borderId="0" xfId="0" applyNumberFormat="1" applyFont="1" applyFill="1" applyProtection="1">
      <protection locked="0"/>
    </xf>
    <xf numFmtId="4" fontId="24" fillId="2" borderId="0" xfId="0" applyNumberFormat="1" applyFont="1" applyFill="1" applyBorder="1" applyAlignment="1" applyProtection="1">
      <alignment horizontal="right"/>
    </xf>
    <xf numFmtId="3" fontId="46" fillId="0" borderId="0" xfId="0" applyNumberFormat="1" applyFont="1" applyFill="1" applyBorder="1" applyProtection="1">
      <protection locked="0"/>
    </xf>
    <xf numFmtId="0" fontId="0" fillId="0" borderId="0" xfId="0" applyFont="1" applyBorder="1"/>
    <xf numFmtId="164" fontId="23" fillId="0" borderId="0" xfId="0" applyNumberFormat="1" applyFont="1" applyBorder="1"/>
    <xf numFmtId="3" fontId="23" fillId="0" borderId="0" xfId="0" applyNumberFormat="1" applyFont="1" applyBorder="1"/>
    <xf numFmtId="1" fontId="27" fillId="0" borderId="0" xfId="0" applyNumberFormat="1" applyFont="1" applyBorder="1" applyProtection="1">
      <protection locked="0"/>
    </xf>
    <xf numFmtId="4" fontId="23" fillId="0" borderId="22" xfId="0" applyNumberFormat="1" applyFont="1" applyBorder="1"/>
    <xf numFmtId="2" fontId="23" fillId="0" borderId="22" xfId="0" applyNumberFormat="1" applyFont="1" applyBorder="1"/>
    <xf numFmtId="3" fontId="25" fillId="0" borderId="0" xfId="0" applyNumberFormat="1" applyFont="1" applyAlignment="1">
      <alignment horizontal="right"/>
    </xf>
    <xf numFmtId="2" fontId="22" fillId="0" borderId="0" xfId="0" applyNumberFormat="1" applyFont="1" applyAlignment="1">
      <alignment horizontal="right"/>
    </xf>
    <xf numFmtId="0" fontId="27" fillId="0" borderId="0" xfId="0" applyFont="1" applyBorder="1"/>
    <xf numFmtId="0" fontId="0" fillId="0" borderId="0" xfId="0" applyBorder="1"/>
    <xf numFmtId="0" fontId="27" fillId="0" borderId="0" xfId="0" applyFont="1" applyBorder="1" applyAlignment="1">
      <alignment wrapText="1"/>
    </xf>
    <xf numFmtId="4" fontId="27" fillId="0" borderId="0" xfId="0" applyNumberFormat="1" applyFont="1" applyBorder="1" applyAlignment="1">
      <alignment horizontal="left"/>
    </xf>
    <xf numFmtId="0" fontId="0" fillId="0" borderId="17" xfId="0" applyBorder="1"/>
    <xf numFmtId="0" fontId="27" fillId="0" borderId="1" xfId="0" applyFont="1" applyBorder="1"/>
    <xf numFmtId="4" fontId="27" fillId="0" borderId="20" xfId="0" applyNumberFormat="1" applyFont="1" applyBorder="1"/>
    <xf numFmtId="0" fontId="27" fillId="0" borderId="19" xfId="0" applyFont="1" applyFill="1" applyBorder="1" applyAlignment="1">
      <alignment horizontal="left"/>
    </xf>
    <xf numFmtId="0" fontId="23" fillId="0" borderId="16" xfId="0" applyFont="1" applyBorder="1" applyProtection="1"/>
    <xf numFmtId="2" fontId="27" fillId="0" borderId="0" xfId="0" applyNumberFormat="1" applyFont="1" applyFill="1" applyBorder="1" applyAlignment="1">
      <alignment wrapText="1"/>
    </xf>
    <xf numFmtId="0" fontId="18" fillId="0" borderId="14" xfId="0" applyFont="1" applyBorder="1"/>
    <xf numFmtId="0" fontId="18" fillId="0" borderId="17" xfId="0" applyFont="1" applyBorder="1" applyAlignment="1">
      <alignment horizontal="right"/>
    </xf>
    <xf numFmtId="0" fontId="18" fillId="0" borderId="15" xfId="0" applyFont="1" applyBorder="1" applyAlignment="1">
      <alignment horizontal="right"/>
    </xf>
    <xf numFmtId="0" fontId="18" fillId="0" borderId="16" xfId="0" applyFont="1" applyBorder="1"/>
    <xf numFmtId="2" fontId="23" fillId="0" borderId="16" xfId="0" applyNumberFormat="1" applyFont="1" applyBorder="1"/>
    <xf numFmtId="2" fontId="0" fillId="0" borderId="0" xfId="0" applyNumberFormat="1" applyFont="1"/>
    <xf numFmtId="0" fontId="0" fillId="0" borderId="0" xfId="0" applyFont="1" applyAlignment="1">
      <alignment vertical="top" wrapText="1"/>
    </xf>
    <xf numFmtId="0" fontId="50" fillId="0" borderId="0" xfId="0" applyFont="1"/>
    <xf numFmtId="0" fontId="19" fillId="0" borderId="0" xfId="0" applyFont="1"/>
    <xf numFmtId="0" fontId="19" fillId="0" borderId="0" xfId="0" applyFont="1" applyFill="1"/>
    <xf numFmtId="0" fontId="49" fillId="0" borderId="0" xfId="0" applyFont="1"/>
    <xf numFmtId="0" fontId="49" fillId="7" borderId="0" xfId="0" applyFont="1" applyFill="1"/>
    <xf numFmtId="0" fontId="18" fillId="0" borderId="0" xfId="0" applyFont="1" applyBorder="1" applyAlignment="1">
      <alignment horizontal="right"/>
    </xf>
    <xf numFmtId="0" fontId="18" fillId="0" borderId="0" xfId="0" applyFont="1" applyAlignment="1">
      <alignment horizontal="right"/>
    </xf>
    <xf numFmtId="0" fontId="0" fillId="0" borderId="0" xfId="0" applyFont="1" applyAlignment="1">
      <alignment horizontal="left" vertical="top" wrapText="1"/>
    </xf>
    <xf numFmtId="0" fontId="52" fillId="0" borderId="0" xfId="0" applyFont="1" applyAlignment="1">
      <alignment horizontal="left" vertical="top" wrapText="1"/>
    </xf>
    <xf numFmtId="0" fontId="18" fillId="0" borderId="22" xfId="0" applyFont="1" applyBorder="1"/>
    <xf numFmtId="0" fontId="18" fillId="0" borderId="0" xfId="0" applyFont="1" applyAlignment="1">
      <alignment wrapText="1"/>
    </xf>
    <xf numFmtId="2" fontId="24" fillId="2" borderId="0" xfId="0" applyNumberFormat="1" applyFont="1" applyFill="1" applyProtection="1"/>
    <xf numFmtId="2" fontId="0" fillId="0" borderId="0" xfId="0" applyNumberFormat="1" applyFont="1" applyProtection="1"/>
    <xf numFmtId="0" fontId="0" fillId="0" borderId="16" xfId="0" applyFont="1" applyBorder="1" applyProtection="1"/>
    <xf numFmtId="4" fontId="27" fillId="0" borderId="21" xfId="0" applyNumberFormat="1" applyFont="1" applyFill="1" applyBorder="1" applyAlignment="1">
      <alignment horizontal="right"/>
    </xf>
    <xf numFmtId="0" fontId="24" fillId="2" borderId="16" xfId="0" applyFont="1" applyFill="1" applyBorder="1"/>
    <xf numFmtId="168" fontId="0" fillId="0" borderId="0" xfId="0" applyNumberFormat="1" applyFont="1" applyBorder="1" applyProtection="1"/>
    <xf numFmtId="0" fontId="0" fillId="0" borderId="10" xfId="0" applyFont="1" applyBorder="1" applyProtection="1"/>
    <xf numFmtId="0" fontId="0" fillId="0" borderId="0" xfId="0" applyAlignment="1">
      <alignment wrapText="1"/>
    </xf>
    <xf numFmtId="0" fontId="18" fillId="0" borderId="0" xfId="0" applyFont="1"/>
    <xf numFmtId="0" fontId="0" fillId="0" borderId="0" xfId="0" applyFont="1"/>
    <xf numFmtId="0" fontId="0" fillId="0" borderId="0" xfId="0"/>
    <xf numFmtId="164" fontId="0" fillId="0" borderId="0" xfId="0" applyNumberFormat="1" applyFill="1" applyProtection="1"/>
    <xf numFmtId="0" fontId="0" fillId="2" borderId="10" xfId="0" applyFill="1" applyBorder="1"/>
    <xf numFmtId="0" fontId="0" fillId="0" borderId="0" xfId="0" applyFont="1"/>
    <xf numFmtId="0" fontId="0" fillId="0" borderId="0" xfId="0"/>
    <xf numFmtId="2" fontId="23" fillId="0" borderId="16" xfId="0" applyNumberFormat="1" applyFont="1" applyFill="1" applyBorder="1"/>
    <xf numFmtId="0" fontId="18" fillId="0" borderId="16" xfId="0" applyFont="1" applyBorder="1" applyAlignment="1">
      <alignment horizontal="right"/>
    </xf>
    <xf numFmtId="0" fontId="18" fillId="0" borderId="16" xfId="0" applyFont="1" applyBorder="1" applyAlignment="1">
      <alignment horizontal="right" wrapText="1"/>
    </xf>
    <xf numFmtId="0" fontId="18" fillId="0" borderId="10" xfId="0" applyFont="1" applyBorder="1" applyAlignment="1"/>
    <xf numFmtId="2" fontId="23" fillId="0" borderId="18" xfId="0" applyNumberFormat="1" applyFont="1" applyFill="1" applyBorder="1"/>
    <xf numFmtId="0" fontId="23" fillId="0" borderId="20" xfId="0" applyFont="1" applyBorder="1"/>
    <xf numFmtId="2" fontId="23" fillId="0" borderId="18" xfId="0" applyNumberFormat="1" applyFont="1" applyBorder="1"/>
    <xf numFmtId="2" fontId="23" fillId="0" borderId="20" xfId="0" applyNumberFormat="1" applyFont="1" applyBorder="1"/>
    <xf numFmtId="0" fontId="28" fillId="0" borderId="1" xfId="0" applyFont="1" applyBorder="1"/>
    <xf numFmtId="4" fontId="22" fillId="0" borderId="0" xfId="0" applyNumberFormat="1" applyFont="1" applyFill="1" applyBorder="1" applyAlignment="1" applyProtection="1">
      <alignment horizontal="right"/>
    </xf>
    <xf numFmtId="0" fontId="22" fillId="0" borderId="0" xfId="0" applyFont="1" applyFill="1" applyBorder="1"/>
    <xf numFmtId="164" fontId="22" fillId="0" borderId="0" xfId="0" applyNumberFormat="1" applyFont="1" applyFill="1" applyBorder="1" applyProtection="1">
      <protection locked="0"/>
    </xf>
    <xf numFmtId="164" fontId="22" fillId="0" borderId="0" xfId="0" applyNumberFormat="1" applyFont="1" applyFill="1" applyProtection="1">
      <protection locked="0"/>
    </xf>
    <xf numFmtId="164" fontId="22" fillId="0" borderId="0" xfId="0" applyNumberFormat="1" applyFont="1" applyFill="1" applyBorder="1"/>
    <xf numFmtId="0" fontId="0" fillId="9" borderId="0" xfId="0" applyFont="1" applyFill="1"/>
    <xf numFmtId="0" fontId="0" fillId="9" borderId="0" xfId="0" applyFill="1"/>
    <xf numFmtId="0" fontId="0" fillId="9" borderId="0" xfId="0" applyFill="1" applyAlignment="1">
      <alignment horizontal="right"/>
    </xf>
    <xf numFmtId="4" fontId="22" fillId="9" borderId="0" xfId="0" applyNumberFormat="1" applyFont="1" applyFill="1"/>
    <xf numFmtId="4" fontId="23" fillId="9" borderId="0" xfId="0" applyNumberFormat="1" applyFont="1" applyFill="1"/>
    <xf numFmtId="2" fontId="23" fillId="9" borderId="0" xfId="0" applyNumberFormat="1" applyFont="1" applyFill="1"/>
    <xf numFmtId="0" fontId="18" fillId="9" borderId="22" xfId="0" applyFont="1" applyFill="1" applyBorder="1"/>
    <xf numFmtId="4" fontId="23" fillId="9" borderId="22" xfId="0" applyNumberFormat="1" applyFont="1" applyFill="1" applyBorder="1"/>
    <xf numFmtId="2" fontId="23" fillId="9" borderId="22" xfId="0" applyNumberFormat="1" applyFont="1" applyFill="1" applyBorder="1"/>
    <xf numFmtId="0" fontId="0" fillId="0" borderId="0" xfId="0" applyFont="1"/>
    <xf numFmtId="0" fontId="0" fillId="0" borderId="0" xfId="0"/>
    <xf numFmtId="0" fontId="18" fillId="0" borderId="0" xfId="0" applyFont="1"/>
    <xf numFmtId="0" fontId="0" fillId="0" borderId="0" xfId="0"/>
    <xf numFmtId="2" fontId="24" fillId="2" borderId="16" xfId="0" applyNumberFormat="1" applyFont="1" applyFill="1" applyBorder="1"/>
    <xf numFmtId="0" fontId="18" fillId="9" borderId="0" xfId="0" applyFont="1" applyFill="1" applyBorder="1"/>
    <xf numFmtId="4" fontId="23" fillId="9" borderId="0" xfId="0" applyNumberFormat="1" applyFont="1" applyFill="1" applyBorder="1"/>
    <xf numFmtId="2" fontId="23" fillId="9" borderId="0" xfId="0" applyNumberFormat="1" applyFont="1" applyFill="1" applyBorder="1"/>
    <xf numFmtId="0" fontId="18" fillId="0" borderId="0" xfId="0" applyFont="1" applyFill="1" applyBorder="1"/>
    <xf numFmtId="4" fontId="23" fillId="0" borderId="0" xfId="0" applyNumberFormat="1" applyFont="1" applyFill="1" applyBorder="1"/>
    <xf numFmtId="2" fontId="23" fillId="0" borderId="0" xfId="0" applyNumberFormat="1" applyFont="1" applyFill="1" applyBorder="1"/>
    <xf numFmtId="0" fontId="22" fillId="0" borderId="0" xfId="0" applyFont="1" applyFill="1" applyAlignment="1">
      <alignment horizontal="right"/>
    </xf>
    <xf numFmtId="0" fontId="18" fillId="0" borderId="23" xfId="0" applyFont="1" applyFill="1" applyBorder="1"/>
    <xf numFmtId="4" fontId="23" fillId="0" borderId="23" xfId="0" applyNumberFormat="1" applyFont="1" applyFill="1" applyBorder="1"/>
    <xf numFmtId="2" fontId="23" fillId="0" borderId="23" xfId="0" applyNumberFormat="1" applyFont="1" applyFill="1" applyBorder="1"/>
    <xf numFmtId="0" fontId="0" fillId="0" borderId="23" xfId="0" applyFill="1" applyBorder="1"/>
    <xf numFmtId="0" fontId="0" fillId="0" borderId="23" xfId="0" applyBorder="1"/>
    <xf numFmtId="4" fontId="0" fillId="0" borderId="0" xfId="0" applyNumberFormat="1" applyFont="1"/>
    <xf numFmtId="0" fontId="0" fillId="0" borderId="24" xfId="0" applyBorder="1"/>
    <xf numFmtId="0" fontId="0" fillId="0" borderId="25" xfId="0" applyBorder="1" applyAlignment="1">
      <alignment horizontal="justify" vertical="center" wrapText="1"/>
    </xf>
    <xf numFmtId="0" fontId="0" fillId="0" borderId="26" xfId="0" applyFont="1" applyBorder="1" applyProtection="1"/>
    <xf numFmtId="0" fontId="0" fillId="0" borderId="27" xfId="0" applyFont="1" applyBorder="1" applyProtection="1"/>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30" xfId="0" applyBorder="1" applyAlignment="1">
      <alignment horizontal="right" vertical="center" wrapText="1"/>
    </xf>
    <xf numFmtId="0" fontId="0" fillId="0" borderId="31" xfId="0" applyBorder="1" applyAlignment="1">
      <alignment horizontal="justify" vertical="center" wrapText="1"/>
    </xf>
    <xf numFmtId="0" fontId="0" fillId="0" borderId="32" xfId="0" applyFont="1" applyBorder="1" applyProtection="1"/>
    <xf numFmtId="0" fontId="0" fillId="0" borderId="33" xfId="0" applyFont="1" applyBorder="1" applyProtection="1"/>
    <xf numFmtId="0" fontId="0" fillId="0" borderId="34" xfId="0" applyBorder="1" applyAlignment="1">
      <alignment horizontal="right" vertical="center" wrapText="1"/>
    </xf>
    <xf numFmtId="0" fontId="0" fillId="0" borderId="0" xfId="0" applyFont="1" applyAlignment="1">
      <alignment horizontal="left" vertical="center"/>
    </xf>
    <xf numFmtId="0" fontId="0" fillId="0" borderId="0" xfId="0" applyFont="1"/>
    <xf numFmtId="0" fontId="54" fillId="0" borderId="0" xfId="0" applyFont="1" applyAlignment="1" applyProtection="1">
      <alignment horizontal="left"/>
      <protection locked="0"/>
    </xf>
    <xf numFmtId="0" fontId="55" fillId="0" borderId="0" xfId="0" applyFont="1" applyAlignment="1">
      <alignment horizontal="left" vertical="top" wrapText="1"/>
    </xf>
    <xf numFmtId="0" fontId="58" fillId="0" borderId="0" xfId="0" applyFont="1"/>
    <xf numFmtId="0" fontId="26" fillId="9" borderId="0" xfId="0" applyFont="1" applyFill="1" applyAlignment="1">
      <alignment vertical="top" wrapText="1"/>
    </xf>
    <xf numFmtId="0" fontId="60" fillId="0" borderId="0" xfId="0" applyFont="1"/>
    <xf numFmtId="0" fontId="60" fillId="0" borderId="0" xfId="0" applyFont="1" applyFill="1"/>
    <xf numFmtId="0" fontId="60" fillId="0" borderId="0" xfId="0" applyFont="1" applyAlignment="1">
      <alignment horizontal="right"/>
    </xf>
    <xf numFmtId="0" fontId="60" fillId="0" borderId="0" xfId="0" applyFont="1" applyFill="1" applyAlignment="1">
      <alignment horizontal="right"/>
    </xf>
    <xf numFmtId="0" fontId="0" fillId="0" borderId="0" xfId="0" applyFont="1" applyAlignment="1">
      <alignment horizontal="right" vertical="center"/>
    </xf>
    <xf numFmtId="0" fontId="0" fillId="0" borderId="0" xfId="0" applyFont="1" applyAlignment="1">
      <alignment vertical="center"/>
    </xf>
    <xf numFmtId="0" fontId="25" fillId="0" borderId="0" xfId="0" applyFont="1" applyAlignment="1">
      <alignment vertical="center"/>
    </xf>
    <xf numFmtId="0" fontId="0" fillId="0" borderId="0" xfId="0" applyNumberFormat="1" applyFont="1" applyAlignment="1">
      <alignment vertical="center"/>
    </xf>
    <xf numFmtId="0" fontId="25"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55" fillId="0" borderId="16" xfId="0" applyFont="1" applyBorder="1" applyAlignment="1">
      <alignment horizontal="left"/>
    </xf>
    <xf numFmtId="0" fontId="55" fillId="0" borderId="16" xfId="0" applyFont="1" applyBorder="1"/>
    <xf numFmtId="0" fontId="55" fillId="0" borderId="0" xfId="0" applyFont="1"/>
    <xf numFmtId="0" fontId="55" fillId="4" borderId="16" xfId="0" applyFont="1" applyFill="1" applyBorder="1" applyAlignment="1">
      <alignment horizontal="left"/>
    </xf>
    <xf numFmtId="0" fontId="55" fillId="4" borderId="16" xfId="0" applyFont="1" applyFill="1" applyBorder="1"/>
    <xf numFmtId="0" fontId="55" fillId="0" borderId="0" xfId="0" applyFont="1" applyFill="1"/>
    <xf numFmtId="0" fontId="55" fillId="0" borderId="16" xfId="0" applyFont="1" applyFill="1" applyBorder="1" applyAlignment="1">
      <alignment horizontal="left"/>
    </xf>
    <xf numFmtId="0" fontId="55" fillId="0" borderId="16" xfId="0" applyFont="1" applyFill="1" applyBorder="1"/>
    <xf numFmtId="0" fontId="61" fillId="0" borderId="16" xfId="0" applyFont="1" applyBorder="1" applyAlignment="1">
      <alignment horizontal="left"/>
    </xf>
    <xf numFmtId="0" fontId="62" fillId="10" borderId="0" xfId="0" applyFont="1" applyFill="1"/>
    <xf numFmtId="0" fontId="18" fillId="0" borderId="16" xfId="0" applyFont="1" applyBorder="1" applyAlignment="1">
      <alignment horizontal="center" vertical="center" wrapText="1"/>
    </xf>
    <xf numFmtId="0" fontId="28" fillId="0" borderId="16" xfId="0" applyFont="1" applyBorder="1" applyAlignment="1">
      <alignment horizontal="center" vertical="center" wrapText="1"/>
    </xf>
    <xf numFmtId="0" fontId="0" fillId="0" borderId="16" xfId="0" applyBorder="1" applyAlignment="1">
      <alignment vertical="center" wrapText="1"/>
    </xf>
    <xf numFmtId="0" fontId="48" fillId="0" borderId="16" xfId="0" applyFont="1" applyBorder="1" applyAlignment="1">
      <alignment vertical="center" wrapText="1"/>
    </xf>
    <xf numFmtId="2" fontId="48" fillId="0" borderId="16" xfId="0" applyNumberFormat="1" applyFont="1" applyBorder="1" applyAlignment="1">
      <alignment vertical="center" wrapText="1"/>
    </xf>
    <xf numFmtId="0" fontId="63" fillId="0" borderId="0" xfId="0" applyFont="1"/>
    <xf numFmtId="0" fontId="63" fillId="0" borderId="0" xfId="0" applyFont="1" applyAlignment="1" applyProtection="1">
      <alignment horizontal="left"/>
      <protection locked="0"/>
    </xf>
    <xf numFmtId="0" fontId="63" fillId="0" borderId="0" xfId="0" applyFont="1" applyAlignment="1">
      <alignment horizontal="left"/>
    </xf>
    <xf numFmtId="0" fontId="65" fillId="0" borderId="0" xfId="0" applyFont="1"/>
    <xf numFmtId="0" fontId="55" fillId="0" borderId="35" xfId="0" applyFont="1" applyBorder="1" applyAlignment="1">
      <alignment horizontal="left" vertical="top" wrapText="1"/>
    </xf>
    <xf numFmtId="0" fontId="0" fillId="0" borderId="0" xfId="0" applyFont="1" applyAlignment="1" applyProtection="1">
      <alignment horizontal="right" vertical="center"/>
    </xf>
    <xf numFmtId="0" fontId="23" fillId="0" borderId="0" xfId="0" applyFont="1" applyAlignment="1" applyProtection="1">
      <alignment vertical="center"/>
    </xf>
    <xf numFmtId="0" fontId="63" fillId="0" borderId="0" xfId="0" applyFont="1" applyProtection="1"/>
    <xf numFmtId="0" fontId="0" fillId="0" borderId="37" xfId="0" applyFont="1" applyBorder="1" applyProtection="1"/>
    <xf numFmtId="0" fontId="0" fillId="0" borderId="38" xfId="0" applyFont="1" applyBorder="1" applyProtection="1"/>
    <xf numFmtId="164" fontId="21" fillId="0" borderId="18" xfId="0" applyNumberFormat="1" applyFont="1" applyBorder="1" applyProtection="1"/>
    <xf numFmtId="0" fontId="19" fillId="0" borderId="18" xfId="0" applyFont="1" applyBorder="1" applyProtection="1"/>
    <xf numFmtId="2" fontId="22" fillId="0" borderId="0" xfId="0" applyNumberFormat="1" applyFont="1" applyBorder="1" applyProtection="1"/>
    <xf numFmtId="0" fontId="0" fillId="0" borderId="18" xfId="0" applyFont="1" applyBorder="1" applyProtection="1"/>
    <xf numFmtId="0" fontId="25" fillId="0" borderId="24" xfId="0" applyFont="1" applyFill="1" applyBorder="1" applyAlignment="1" applyProtection="1">
      <alignment wrapText="1"/>
    </xf>
    <xf numFmtId="2" fontId="22" fillId="0" borderId="24" xfId="0" applyNumberFormat="1" applyFont="1" applyBorder="1" applyProtection="1"/>
    <xf numFmtId="0" fontId="0" fillId="0" borderId="24" xfId="0" applyFont="1" applyBorder="1" applyProtection="1"/>
    <xf numFmtId="0" fontId="24" fillId="0" borderId="24" xfId="0" applyFont="1" applyFill="1" applyBorder="1" applyProtection="1"/>
    <xf numFmtId="0" fontId="0" fillId="0" borderId="39" xfId="0" applyFont="1" applyBorder="1" applyProtection="1"/>
    <xf numFmtId="0" fontId="25" fillId="0" borderId="0" xfId="0" applyFont="1" applyFill="1" applyBorder="1" applyAlignment="1" applyProtection="1">
      <alignment horizontal="center" wrapText="1"/>
    </xf>
    <xf numFmtId="0" fontId="0" fillId="0" borderId="0" xfId="0" applyFont="1" applyAlignment="1" applyProtection="1">
      <alignment horizontal="center"/>
    </xf>
    <xf numFmtId="0" fontId="23" fillId="0" borderId="0" xfId="0" applyFont="1" applyAlignment="1" applyProtection="1">
      <alignment horizontal="center"/>
    </xf>
    <xf numFmtId="0" fontId="26" fillId="0" borderId="36" xfId="0" applyFont="1" applyBorder="1" applyProtection="1"/>
    <xf numFmtId="0" fontId="8" fillId="0" borderId="1" xfId="0" applyFont="1" applyBorder="1" applyAlignment="1" applyProtection="1">
      <alignment wrapText="1"/>
    </xf>
    <xf numFmtId="0" fontId="25" fillId="0" borderId="1" xfId="0" applyFont="1" applyFill="1" applyBorder="1" applyAlignment="1" applyProtection="1">
      <alignment wrapText="1"/>
    </xf>
    <xf numFmtId="0" fontId="25" fillId="0" borderId="19" xfId="0" applyFont="1" applyFill="1" applyBorder="1" applyAlignment="1" applyProtection="1">
      <alignment wrapText="1"/>
    </xf>
    <xf numFmtId="2" fontId="24" fillId="2" borderId="16" xfId="0" applyNumberFormat="1" applyFont="1" applyFill="1" applyBorder="1" applyProtection="1">
      <protection locked="0"/>
    </xf>
    <xf numFmtId="0" fontId="38" fillId="2" borderId="16" xfId="0" applyFont="1" applyFill="1" applyBorder="1" applyAlignment="1" applyProtection="1">
      <alignment horizontal="center" vertical="center"/>
      <protection locked="0"/>
    </xf>
    <xf numFmtId="2" fontId="24" fillId="2" borderId="16" xfId="0" applyNumberFormat="1" applyFont="1" applyFill="1" applyBorder="1" applyAlignment="1" applyProtection="1">
      <alignment horizontal="center"/>
    </xf>
    <xf numFmtId="2" fontId="24" fillId="2" borderId="16" xfId="0" applyNumberFormat="1" applyFont="1" applyFill="1" applyBorder="1" applyAlignment="1" applyProtection="1">
      <alignment horizontal="center" wrapText="1"/>
    </xf>
    <xf numFmtId="0" fontId="24" fillId="2" borderId="16" xfId="0" applyFont="1" applyFill="1" applyBorder="1" applyProtection="1"/>
    <xf numFmtId="0" fontId="24" fillId="2" borderId="16" xfId="0" applyFont="1" applyFill="1" applyBorder="1" applyAlignment="1" applyProtection="1">
      <alignment vertical="center"/>
    </xf>
    <xf numFmtId="2" fontId="23" fillId="0" borderId="39" xfId="0" applyNumberFormat="1" applyFont="1" applyFill="1" applyBorder="1"/>
    <xf numFmtId="2" fontId="24" fillId="2" borderId="16" xfId="0" applyNumberFormat="1" applyFont="1" applyFill="1" applyBorder="1" applyProtection="1"/>
    <xf numFmtId="2" fontId="24" fillId="2" borderId="16" xfId="0" applyNumberFormat="1" applyFont="1" applyFill="1" applyBorder="1" applyAlignment="1" applyProtection="1">
      <alignment wrapText="1"/>
    </xf>
    <xf numFmtId="170" fontId="24" fillId="2" borderId="16" xfId="0" applyNumberFormat="1" applyFont="1" applyFill="1" applyBorder="1" applyProtection="1"/>
    <xf numFmtId="3" fontId="24" fillId="2" borderId="16" xfId="0" applyNumberFormat="1" applyFont="1" applyFill="1" applyBorder="1" applyProtection="1"/>
    <xf numFmtId="0" fontId="18" fillId="0" borderId="0" xfId="0" applyFont="1"/>
    <xf numFmtId="0" fontId="0" fillId="0" borderId="0" xfId="0" applyFont="1"/>
    <xf numFmtId="0" fontId="0" fillId="0" borderId="0" xfId="0" applyAlignment="1">
      <alignment wrapText="1"/>
    </xf>
    <xf numFmtId="0" fontId="55" fillId="0" borderId="16" xfId="0" applyFont="1" applyBorder="1" applyAlignment="1">
      <alignment wrapText="1"/>
    </xf>
    <xf numFmtId="0" fontId="61" fillId="0" borderId="16" xfId="0" applyFont="1" applyBorder="1" applyAlignment="1">
      <alignment wrapText="1"/>
    </xf>
    <xf numFmtId="0" fontId="18" fillId="9" borderId="0" xfId="0" applyFont="1" applyFill="1" applyAlignment="1">
      <alignment wrapText="1"/>
    </xf>
    <xf numFmtId="0" fontId="25" fillId="0" borderId="0" xfId="0" applyFont="1" applyFill="1" applyBorder="1" applyAlignment="1" applyProtection="1"/>
    <xf numFmtId="0" fontId="18" fillId="0" borderId="0" xfId="0" applyFont="1" applyAlignment="1">
      <alignment wrapText="1"/>
    </xf>
    <xf numFmtId="0" fontId="18" fillId="0" borderId="18" xfId="0" applyFont="1" applyBorder="1" applyAlignment="1">
      <alignment wrapText="1"/>
    </xf>
    <xf numFmtId="0" fontId="26" fillId="3" borderId="10" xfId="0" applyFont="1" applyFill="1" applyBorder="1" applyAlignment="1">
      <alignment vertical="center" wrapText="1"/>
    </xf>
    <xf numFmtId="0" fontId="26" fillId="3" borderId="11" xfId="0" applyFont="1" applyFill="1" applyBorder="1" applyAlignment="1">
      <alignment vertical="center" wrapText="1"/>
    </xf>
    <xf numFmtId="0" fontId="26" fillId="3" borderId="12" xfId="0" applyFont="1" applyFill="1" applyBorder="1" applyAlignment="1">
      <alignment vertical="center" wrapText="1"/>
    </xf>
    <xf numFmtId="0" fontId="33" fillId="3" borderId="10" xfId="0" applyFont="1" applyFill="1" applyBorder="1" applyAlignment="1" applyProtection="1">
      <alignment horizontal="left" vertical="top" wrapText="1"/>
    </xf>
    <xf numFmtId="0" fontId="33" fillId="3" borderId="11" xfId="0" applyFont="1" applyFill="1" applyBorder="1" applyAlignment="1" applyProtection="1">
      <alignment horizontal="left" vertical="top" wrapText="1"/>
    </xf>
    <xf numFmtId="0" fontId="0" fillId="0" borderId="11" xfId="0" applyBorder="1" applyAlignment="1">
      <alignment wrapText="1"/>
    </xf>
    <xf numFmtId="0" fontId="0" fillId="0" borderId="12" xfId="0" applyBorder="1" applyAlignment="1">
      <alignment wrapText="1"/>
    </xf>
    <xf numFmtId="0" fontId="33" fillId="3"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wrapText="1"/>
    </xf>
    <xf numFmtId="0" fontId="26" fillId="3" borderId="2" xfId="0" applyFont="1" applyFill="1" applyBorder="1" applyAlignment="1" applyProtection="1">
      <alignment horizontal="left" wrapText="1"/>
    </xf>
    <xf numFmtId="0" fontId="0" fillId="0" borderId="3" xfId="0" applyBorder="1" applyAlignment="1">
      <alignment wrapText="1"/>
    </xf>
    <xf numFmtId="0" fontId="0" fillId="0" borderId="4"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5" xfId="0" applyBorder="1" applyAlignment="1">
      <alignment wrapText="1"/>
    </xf>
    <xf numFmtId="0" fontId="0" fillId="8" borderId="10" xfId="0" applyFont="1" applyFill="1" applyBorder="1" applyAlignment="1">
      <alignment wrapText="1"/>
    </xf>
    <xf numFmtId="0" fontId="26" fillId="8" borderId="11" xfId="0" applyFont="1" applyFill="1" applyBorder="1" applyAlignment="1">
      <alignment wrapText="1"/>
    </xf>
    <xf numFmtId="0" fontId="26" fillId="8" borderId="12" xfId="0" applyFont="1" applyFill="1" applyBorder="1" applyAlignment="1">
      <alignment wrapText="1"/>
    </xf>
    <xf numFmtId="0" fontId="19" fillId="0" borderId="0" xfId="0" applyFont="1" applyAlignment="1">
      <alignment vertical="top" wrapText="1"/>
    </xf>
    <xf numFmtId="0" fontId="0" fillId="5" borderId="0" xfId="0" applyFont="1" applyFill="1" applyAlignment="1" applyProtection="1">
      <alignment horizontal="center" wrapText="1"/>
    </xf>
    <xf numFmtId="0" fontId="26" fillId="3" borderId="10" xfId="0" applyFont="1" applyFill="1" applyBorder="1" applyAlignment="1" applyProtection="1">
      <alignment horizontal="left" vertical="top" wrapText="1"/>
    </xf>
    <xf numFmtId="0" fontId="26" fillId="3" borderId="11" xfId="0" applyFont="1" applyFill="1" applyBorder="1" applyAlignment="1" applyProtection="1">
      <alignment horizontal="left" vertical="top" wrapText="1"/>
    </xf>
    <xf numFmtId="0" fontId="0" fillId="0" borderId="16" xfId="0" applyFont="1" applyFill="1" applyBorder="1" applyAlignment="1" applyProtection="1">
      <alignment vertical="top" wrapText="1"/>
    </xf>
    <xf numFmtId="0" fontId="0" fillId="0" borderId="16" xfId="0" applyFill="1" applyBorder="1" applyAlignment="1" applyProtection="1">
      <alignment wrapText="1"/>
    </xf>
    <xf numFmtId="0" fontId="25" fillId="0" borderId="0" xfId="0" applyFont="1" applyFill="1" applyAlignment="1" applyProtection="1">
      <alignment horizontal="left" wrapText="1"/>
    </xf>
    <xf numFmtId="0" fontId="33" fillId="3" borderId="10" xfId="0" applyFont="1" applyFill="1" applyBorder="1" applyAlignment="1" applyProtection="1">
      <alignment horizontal="left" vertical="center" wrapText="1"/>
    </xf>
    <xf numFmtId="0" fontId="33" fillId="3" borderId="11" xfId="0" applyFont="1" applyFill="1" applyBorder="1" applyAlignment="1" applyProtection="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0" xfId="0" applyBorder="1" applyAlignment="1" applyProtection="1">
      <alignment horizontal="left" vertical="top" wrapText="1"/>
    </xf>
    <xf numFmtId="0" fontId="0" fillId="0" borderId="41" xfId="0" applyBorder="1" applyAlignment="1" applyProtection="1">
      <alignment horizontal="left" vertical="top"/>
    </xf>
    <xf numFmtId="0" fontId="0" fillId="0" borderId="42" xfId="0" applyBorder="1" applyAlignment="1" applyProtection="1">
      <alignment horizontal="left" vertical="top"/>
    </xf>
    <xf numFmtId="0" fontId="0" fillId="0" borderId="43" xfId="0" applyBorder="1" applyAlignment="1" applyProtection="1">
      <alignment horizontal="left" vertical="top"/>
    </xf>
    <xf numFmtId="0" fontId="0" fillId="0" borderId="0" xfId="0" applyBorder="1" applyAlignment="1" applyProtection="1">
      <alignment horizontal="left" vertical="top"/>
    </xf>
    <xf numFmtId="0" fontId="0" fillId="0" borderId="44" xfId="0" applyBorder="1" applyAlignment="1" applyProtection="1">
      <alignment horizontal="left" vertical="top"/>
    </xf>
    <xf numFmtId="0" fontId="0" fillId="0" borderId="45" xfId="0" applyBorder="1" applyAlignment="1" applyProtection="1">
      <alignment horizontal="left" vertical="top"/>
    </xf>
    <xf numFmtId="0" fontId="0" fillId="0" borderId="46" xfId="0" applyBorder="1" applyAlignment="1" applyProtection="1">
      <alignment horizontal="left" vertical="top"/>
    </xf>
    <xf numFmtId="0" fontId="0" fillId="0" borderId="47" xfId="0" applyBorder="1" applyAlignment="1" applyProtection="1">
      <alignment horizontal="left" vertical="top"/>
    </xf>
    <xf numFmtId="0" fontId="33" fillId="3" borderId="13" xfId="0" applyFont="1" applyFill="1" applyBorder="1" applyAlignment="1" applyProtection="1">
      <alignment horizontal="center" vertical="center" wrapText="1"/>
    </xf>
    <xf numFmtId="0" fontId="0" fillId="0" borderId="0" xfId="0" applyAlignment="1">
      <alignment wrapText="1"/>
    </xf>
    <xf numFmtId="0" fontId="0" fillId="0" borderId="0" xfId="0" applyBorder="1" applyAlignment="1">
      <alignment wrapText="1"/>
    </xf>
    <xf numFmtId="0" fontId="22" fillId="4" borderId="0" xfId="0" applyFont="1" applyFill="1"/>
    <xf numFmtId="0" fontId="0" fillId="0" borderId="0" xfId="0" applyFont="1"/>
    <xf numFmtId="0" fontId="22" fillId="0" borderId="0" xfId="0" applyFont="1" applyFill="1"/>
    <xf numFmtId="2" fontId="22" fillId="4" borderId="0" xfId="0" applyNumberFormat="1" applyFont="1" applyFill="1"/>
    <xf numFmtId="0" fontId="22" fillId="4" borderId="0" xfId="0" applyFont="1" applyFill="1" applyAlignment="1">
      <alignment horizontal="right"/>
    </xf>
    <xf numFmtId="0" fontId="33" fillId="3" borderId="10" xfId="0" applyFont="1" applyFill="1" applyBorder="1" applyAlignment="1">
      <alignment wrapText="1"/>
    </xf>
    <xf numFmtId="0" fontId="33" fillId="3" borderId="11" xfId="0" applyFont="1" applyFill="1" applyBorder="1" applyAlignment="1">
      <alignment wrapText="1"/>
    </xf>
    <xf numFmtId="0" fontId="33" fillId="3" borderId="12" xfId="0" applyFont="1" applyFill="1" applyBorder="1" applyAlignment="1">
      <alignment wrapText="1"/>
    </xf>
    <xf numFmtId="0" fontId="18" fillId="0" borderId="0" xfId="0" applyFont="1"/>
    <xf numFmtId="0" fontId="0" fillId="0" borderId="0" xfId="0" applyFont="1" applyAlignment="1">
      <alignment wrapText="1"/>
    </xf>
    <xf numFmtId="0" fontId="0" fillId="0" borderId="0" xfId="0"/>
    <xf numFmtId="0" fontId="33" fillId="3" borderId="6" xfId="0" applyFont="1" applyFill="1" applyBorder="1" applyAlignment="1">
      <alignment wrapText="1"/>
    </xf>
    <xf numFmtId="0" fontId="33" fillId="3" borderId="7" xfId="0" applyFont="1" applyFill="1" applyBorder="1" applyAlignment="1">
      <alignment wrapText="1"/>
    </xf>
    <xf numFmtId="0" fontId="0" fillId="0" borderId="0" xfId="0" applyFont="1" applyAlignment="1">
      <alignment horizontal="justify" vertical="center"/>
    </xf>
    <xf numFmtId="0" fontId="0" fillId="0" borderId="0" xfId="0" applyFont="1" applyAlignment="1">
      <alignment vertical="center"/>
    </xf>
    <xf numFmtId="0" fontId="66" fillId="0" borderId="0" xfId="0" applyFont="1"/>
  </cellXfs>
  <cellStyles count="11">
    <cellStyle name="Comma 2" xfId="1"/>
    <cellStyle name="Comma 3" xfId="2"/>
    <cellStyle name="Hyperlink 2" xfId="3"/>
    <cellStyle name="Normal" xfId="0" builtinId="0"/>
    <cellStyle name="Normal 2" xfId="4"/>
    <cellStyle name="Normal 3" xfId="5"/>
    <cellStyle name="Normal 4" xfId="6"/>
    <cellStyle name="Percent 2" xfId="7"/>
    <cellStyle name="Percent 3" xfId="8"/>
    <cellStyle name="Percent 4" xfId="9"/>
    <cellStyle name="Título_10-06-18 AnH BioGrace GHG calculations - version 2.0.a" xfId="10"/>
  </cellStyles>
  <dxfs count="0"/>
  <tableStyles count="0" defaultTableStyle="TableStyleMedium9" defaultPivotStyle="PivotStyleLight16"/>
  <colors>
    <mruColors>
      <color rgb="FF0099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en-US"/>
              <a:t>Emissions usine</a:t>
            </a:r>
          </a:p>
        </c:rich>
      </c:tx>
      <c:overlay val="0"/>
    </c:title>
    <c:autoTitleDeleted val="0"/>
    <c:plotArea>
      <c:layout/>
      <c:barChart>
        <c:barDir val="col"/>
        <c:grouping val="clustered"/>
        <c:varyColors val="0"/>
        <c:ser>
          <c:idx val="0"/>
          <c:order val="0"/>
          <c:tx>
            <c:strRef>
              <c:f>'Resume des resultats'!$B$35</c:f>
              <c:strCache>
                <c:ptCount val="1"/>
                <c:pt idx="0">
                  <c:v>tCO2e</c:v>
                </c:pt>
              </c:strCache>
            </c:strRef>
          </c:tx>
          <c:invertIfNegative val="0"/>
          <c:dPt>
            <c:idx val="5"/>
            <c:invertIfNegative val="0"/>
            <c:bubble3D val="0"/>
            <c:spPr>
              <a:solidFill>
                <a:schemeClr val="accent6">
                  <a:lumMod val="50000"/>
                </a:schemeClr>
              </a:solidFill>
            </c:spPr>
            <c:extLst>
              <c:ext xmlns:c16="http://schemas.microsoft.com/office/drawing/2014/chart" uri="{C3380CC4-5D6E-409C-BE32-E72D297353CC}">
                <c16:uniqueId val="{00000001-1EAA-45C3-826E-E702605B7599}"/>
              </c:ext>
            </c:extLst>
          </c:dPt>
          <c:cat>
            <c:strRef>
              <c:f>'Resume des resultats'!$A$36:$A$41</c:f>
              <c:strCache>
                <c:ptCount val="6"/>
                <c:pt idx="0">
                  <c:v>Effluents</c:v>
                </c:pt>
                <c:pt idx="1">
                  <c:v>Carburant consommé par l'usine</c:v>
                </c:pt>
                <c:pt idx="2">
                  <c:v> Achats d'électricité </c:v>
                </c:pt>
                <c:pt idx="3">
                  <c:v>Crédit (électricité excédentaire exportée)</c:v>
                </c:pt>
                <c:pt idx="4">
                  <c:v>Crédit (vente de la biomasse pour l'énergie)</c:v>
                </c:pt>
                <c:pt idx="5">
                  <c:v>Total </c:v>
                </c:pt>
              </c:strCache>
            </c:strRef>
          </c:cat>
          <c:val>
            <c:numRef>
              <c:f>'Resume des resultats'!$B$36:$B$41</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EAA-45C3-826E-E702605B7599}"/>
            </c:ext>
          </c:extLst>
        </c:ser>
        <c:dLbls>
          <c:showLegendKey val="0"/>
          <c:showVal val="0"/>
          <c:showCatName val="0"/>
          <c:showSerName val="0"/>
          <c:showPercent val="0"/>
          <c:showBubbleSize val="0"/>
        </c:dLbls>
        <c:gapWidth val="150"/>
        <c:axId val="1702676624"/>
        <c:axId val="1702406800"/>
      </c:barChart>
      <c:catAx>
        <c:axId val="1702676624"/>
        <c:scaling>
          <c:orientation val="minMax"/>
        </c:scaling>
        <c:delete val="0"/>
        <c:axPos val="b"/>
        <c:numFmt formatCode="General" sourceLinked="0"/>
        <c:majorTickMark val="none"/>
        <c:minorTickMark val="none"/>
        <c:tickLblPos val="nextTo"/>
        <c:crossAx val="1702406800"/>
        <c:crosses val="autoZero"/>
        <c:auto val="1"/>
        <c:lblAlgn val="ctr"/>
        <c:lblOffset val="100"/>
        <c:noMultiLvlLbl val="0"/>
      </c:catAx>
      <c:valAx>
        <c:axId val="1702406800"/>
        <c:scaling>
          <c:orientation val="minMax"/>
        </c:scaling>
        <c:delete val="0"/>
        <c:axPos val="l"/>
        <c:title>
          <c:tx>
            <c:rich>
              <a:bodyPr/>
              <a:lstStyle/>
              <a:p>
                <a:pPr>
                  <a:defRPr/>
                </a:pPr>
                <a:r>
                  <a:rPr lang="en-MY"/>
                  <a:t>tCO2e</a:t>
                </a:r>
              </a:p>
            </c:rich>
          </c:tx>
          <c:overlay val="0"/>
        </c:title>
        <c:numFmt formatCode="#,##0.00" sourceLinked="1"/>
        <c:majorTickMark val="out"/>
        <c:minorTickMark val="none"/>
        <c:tickLblPos val="nextTo"/>
        <c:crossAx val="1702676624"/>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Emissions terrain</a:t>
            </a:r>
          </a:p>
        </c:rich>
      </c:tx>
      <c:overlay val="0"/>
    </c:title>
    <c:autoTitleDeleted val="0"/>
    <c:plotArea>
      <c:layout/>
      <c:barChart>
        <c:barDir val="col"/>
        <c:grouping val="clustered"/>
        <c:varyColors val="0"/>
        <c:ser>
          <c:idx val="0"/>
          <c:order val="0"/>
          <c:invertIfNegative val="0"/>
          <c:dPt>
            <c:idx val="7"/>
            <c:invertIfNegative val="0"/>
            <c:bubble3D val="0"/>
            <c:spPr>
              <a:solidFill>
                <a:schemeClr val="accent3">
                  <a:lumMod val="75000"/>
                </a:schemeClr>
              </a:solidFill>
            </c:spPr>
            <c:extLst>
              <c:ext xmlns:c16="http://schemas.microsoft.com/office/drawing/2014/chart" uri="{C3380CC4-5D6E-409C-BE32-E72D297353CC}">
                <c16:uniqueId val="{00000001-FCAF-42D8-98B9-8037F101F598}"/>
              </c:ext>
            </c:extLst>
          </c:dPt>
          <c:dPt>
            <c:idx val="9"/>
            <c:invertIfNegative val="0"/>
            <c:bubble3D val="0"/>
            <c:spPr>
              <a:solidFill>
                <a:schemeClr val="accent3">
                  <a:lumMod val="50000"/>
                </a:schemeClr>
              </a:solidFill>
            </c:spPr>
            <c:extLst>
              <c:ext xmlns:c16="http://schemas.microsoft.com/office/drawing/2014/chart" uri="{C3380CC4-5D6E-409C-BE32-E72D297353CC}">
                <c16:uniqueId val="{00000003-FCAF-42D8-98B9-8037F101F598}"/>
              </c:ext>
            </c:extLst>
          </c:dPt>
          <c:cat>
            <c:strRef>
              <c:f>'Resume des resultats'!$G$63:$G$68</c:f>
              <c:strCache>
                <c:ptCount val="6"/>
                <c:pt idx="0">
                  <c:v>Défrichement</c:v>
                </c:pt>
                <c:pt idx="1">
                  <c:v>Séquestration de la cuture agricole</c:v>
                </c:pt>
                <c:pt idx="2">
                  <c:v>Fertilisers &amp; N2O</c:v>
                </c:pt>
                <c:pt idx="3">
                  <c:v>Carburant consommé sur le terrain</c:v>
                </c:pt>
                <c:pt idx="4">
                  <c:v>Tourbe </c:v>
                </c:pt>
                <c:pt idx="5">
                  <c:v>Crédit de conservation</c:v>
                </c:pt>
              </c:strCache>
            </c:strRef>
          </c:cat>
          <c:val>
            <c:numRef>
              <c:f>'Resume des resultats'!$H$63:$H$68</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FCAF-42D8-98B9-8037F101F598}"/>
            </c:ext>
          </c:extLst>
        </c:ser>
        <c:dLbls>
          <c:showLegendKey val="0"/>
          <c:showVal val="0"/>
          <c:showCatName val="0"/>
          <c:showSerName val="0"/>
          <c:showPercent val="0"/>
          <c:showBubbleSize val="0"/>
        </c:dLbls>
        <c:gapWidth val="150"/>
        <c:axId val="1702602432"/>
        <c:axId val="1702604064"/>
        <c:extLst/>
      </c:barChart>
      <c:catAx>
        <c:axId val="1702602432"/>
        <c:scaling>
          <c:orientation val="minMax"/>
        </c:scaling>
        <c:delete val="0"/>
        <c:axPos val="b"/>
        <c:numFmt formatCode="General" sourceLinked="0"/>
        <c:majorTickMark val="none"/>
        <c:minorTickMark val="none"/>
        <c:tickLblPos val="nextTo"/>
        <c:txPr>
          <a:bodyPr rot="-2700000" vert="horz"/>
          <a:lstStyle/>
          <a:p>
            <a:pPr>
              <a:defRPr/>
            </a:pPr>
            <a:endParaRPr lang="en-US"/>
          </a:p>
        </c:txPr>
        <c:crossAx val="1702604064"/>
        <c:crosses val="autoZero"/>
        <c:auto val="0"/>
        <c:lblAlgn val="ctr"/>
        <c:lblOffset val="100"/>
        <c:noMultiLvlLbl val="0"/>
      </c:catAx>
      <c:valAx>
        <c:axId val="1702604064"/>
        <c:scaling>
          <c:orientation val="minMax"/>
        </c:scaling>
        <c:delete val="0"/>
        <c:axPos val="l"/>
        <c:title>
          <c:tx>
            <c:rich>
              <a:bodyPr/>
              <a:lstStyle/>
              <a:p>
                <a:pPr>
                  <a:defRPr/>
                </a:pPr>
                <a:r>
                  <a:rPr lang="en-US"/>
                  <a:t>tCO2e</a:t>
                </a:r>
              </a:p>
            </c:rich>
          </c:tx>
          <c:overlay val="0"/>
        </c:title>
        <c:numFmt formatCode="#,##0.00" sourceLinked="1"/>
        <c:majorTickMark val="out"/>
        <c:minorTickMark val="none"/>
        <c:tickLblPos val="nextTo"/>
        <c:crossAx val="1702602432"/>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a:t>Sources d'émission/puits</a:t>
            </a:r>
          </a:p>
        </c:rich>
      </c:tx>
      <c:overlay val="0"/>
    </c:title>
    <c:autoTitleDeleted val="0"/>
    <c:plotArea>
      <c:layout/>
      <c:barChart>
        <c:barDir val="col"/>
        <c:grouping val="clustered"/>
        <c:varyColors val="0"/>
        <c:ser>
          <c:idx val="0"/>
          <c:order val="0"/>
          <c:tx>
            <c:strRef>
              <c:f>'Resume des resultats'!$H$28</c:f>
              <c:strCache>
                <c:ptCount val="1"/>
                <c:pt idx="0">
                  <c:v>tCO2e</c:v>
                </c:pt>
              </c:strCache>
            </c:strRef>
          </c:tx>
          <c:spPr>
            <a:solidFill>
              <a:schemeClr val="accent2"/>
            </a:solidFill>
          </c:spPr>
          <c:invertIfNegative val="0"/>
          <c:dPt>
            <c:idx val="1"/>
            <c:invertIfNegative val="0"/>
            <c:bubble3D val="0"/>
            <c:spPr>
              <a:solidFill>
                <a:srgbClr val="00B050"/>
              </a:solidFill>
            </c:spPr>
            <c:extLst>
              <c:ext xmlns:c16="http://schemas.microsoft.com/office/drawing/2014/chart" uri="{C3380CC4-5D6E-409C-BE32-E72D297353CC}">
                <c16:uniqueId val="{00000001-972E-44DD-BD27-D4C3FC1589F9}"/>
              </c:ext>
            </c:extLst>
          </c:dPt>
          <c:dPt>
            <c:idx val="6"/>
            <c:invertIfNegative val="0"/>
            <c:bubble3D val="0"/>
            <c:spPr>
              <a:solidFill>
                <a:srgbClr val="00B050"/>
              </a:solidFill>
            </c:spPr>
            <c:extLst>
              <c:ext xmlns:c16="http://schemas.microsoft.com/office/drawing/2014/chart" uri="{C3380CC4-5D6E-409C-BE32-E72D297353CC}">
                <c16:uniqueId val="{00000003-972E-44DD-BD27-D4C3FC1589F9}"/>
              </c:ext>
            </c:extLst>
          </c:dPt>
          <c:dPt>
            <c:idx val="9"/>
            <c:invertIfNegative val="0"/>
            <c:bubble3D val="0"/>
            <c:spPr>
              <a:solidFill>
                <a:srgbClr val="00B050"/>
              </a:solidFill>
            </c:spPr>
            <c:extLst>
              <c:ext xmlns:c16="http://schemas.microsoft.com/office/drawing/2014/chart" uri="{C3380CC4-5D6E-409C-BE32-E72D297353CC}">
                <c16:uniqueId val="{00000005-972E-44DD-BD27-D4C3FC1589F9}"/>
              </c:ext>
            </c:extLst>
          </c:dPt>
          <c:dPt>
            <c:idx val="10"/>
            <c:invertIfNegative val="0"/>
            <c:bubble3D val="0"/>
            <c:spPr>
              <a:solidFill>
                <a:schemeClr val="tx2"/>
              </a:solidFill>
            </c:spPr>
            <c:extLst>
              <c:ext xmlns:c16="http://schemas.microsoft.com/office/drawing/2014/chart" uri="{C3380CC4-5D6E-409C-BE32-E72D297353CC}">
                <c16:uniqueId val="{00000007-972E-44DD-BD27-D4C3FC1589F9}"/>
              </c:ext>
            </c:extLst>
          </c:dPt>
          <c:cat>
            <c:strRef>
              <c:f>'Resume des resultats'!$G$29:$G$37</c:f>
              <c:strCache>
                <c:ptCount val="9"/>
                <c:pt idx="0">
                  <c:v>Défrichement</c:v>
                </c:pt>
                <c:pt idx="1">
                  <c:v>Séquestration de la cuture agricole</c:v>
                </c:pt>
                <c:pt idx="2">
                  <c:v>Tourbe </c:v>
                </c:pt>
                <c:pt idx="3">
                  <c:v>Engrais &amp; N2O</c:v>
                </c:pt>
                <c:pt idx="4">
                  <c:v>Crédit de conservation</c:v>
                </c:pt>
                <c:pt idx="5">
                  <c:v>Effluents</c:v>
                </c:pt>
                <c:pt idx="6">
                  <c:v>Carburant (usine &amp; terrain)</c:v>
                </c:pt>
                <c:pt idx="7">
                  <c:v> Achats d'électricité </c:v>
                </c:pt>
                <c:pt idx="8">
                  <c:v>Crédit (éléctricité&amp; biomasse)</c:v>
                </c:pt>
              </c:strCache>
            </c:strRef>
          </c:cat>
          <c:val>
            <c:numRef>
              <c:f>'Resume des resultats'!$H$29:$H$37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972E-44DD-BD27-D4C3FC1589F9}"/>
            </c:ext>
          </c:extLst>
        </c:ser>
        <c:dLbls>
          <c:showLegendKey val="0"/>
          <c:showVal val="0"/>
          <c:showCatName val="0"/>
          <c:showSerName val="0"/>
          <c:showPercent val="0"/>
          <c:showBubbleSize val="0"/>
        </c:dLbls>
        <c:gapWidth val="150"/>
        <c:axId val="1702585536"/>
        <c:axId val="1702587584"/>
      </c:barChart>
      <c:catAx>
        <c:axId val="1702585536"/>
        <c:scaling>
          <c:orientation val="minMax"/>
        </c:scaling>
        <c:delete val="0"/>
        <c:axPos val="b"/>
        <c:numFmt formatCode="General" sourceLinked="0"/>
        <c:majorTickMark val="none"/>
        <c:minorTickMark val="none"/>
        <c:tickLblPos val="nextTo"/>
        <c:crossAx val="1702587584"/>
        <c:crosses val="autoZero"/>
        <c:auto val="1"/>
        <c:lblAlgn val="ctr"/>
        <c:lblOffset val="100"/>
        <c:noMultiLvlLbl val="0"/>
      </c:catAx>
      <c:valAx>
        <c:axId val="1702587584"/>
        <c:scaling>
          <c:orientation val="minMax"/>
        </c:scaling>
        <c:delete val="0"/>
        <c:axPos val="l"/>
        <c:majorGridlines/>
        <c:title>
          <c:tx>
            <c:rich>
              <a:bodyPr/>
              <a:lstStyle/>
              <a:p>
                <a:pPr>
                  <a:defRPr/>
                </a:pPr>
                <a:r>
                  <a:rPr lang="en-MY"/>
                  <a:t>tCO2e</a:t>
                </a:r>
              </a:p>
            </c:rich>
          </c:tx>
          <c:overlay val="0"/>
        </c:title>
        <c:numFmt formatCode="#,##0" sourceLinked="1"/>
        <c:majorTickMark val="none"/>
        <c:minorTickMark val="none"/>
        <c:tickLblPos val="nextTo"/>
        <c:crossAx val="170258553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solidFill>
                  <a:schemeClr val="tx1"/>
                </a:solidFill>
              </a:rPr>
              <a:t>Emissions terrain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B0F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'Resume des resultats'!$H$4:$H$9</c:f>
              <c:strCache>
                <c:ptCount val="6"/>
                <c:pt idx="0">
                  <c:v>Défrichement</c:v>
                </c:pt>
                <c:pt idx="1">
                  <c:v>Séquestration de la cuture agricole</c:v>
                </c:pt>
                <c:pt idx="2">
                  <c:v>Engrais &amp; N2O</c:v>
                </c:pt>
                <c:pt idx="3">
                  <c:v>Carburant consommé sur le terrain</c:v>
                </c:pt>
                <c:pt idx="4">
                  <c:v>Tourbe</c:v>
                </c:pt>
                <c:pt idx="5">
                  <c:v>Crédit de conservation</c:v>
                </c:pt>
              </c:strCache>
            </c:strRef>
          </c:cat>
          <c:val>
            <c:numRef>
              <c:f>'Resume des resultats'!$I$4:$I$9</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481-41F7-912B-860A3554DE54}"/>
            </c:ext>
          </c:extLst>
        </c:ser>
        <c:dLbls>
          <c:showLegendKey val="0"/>
          <c:showVal val="0"/>
          <c:showCatName val="0"/>
          <c:showSerName val="0"/>
          <c:showPercent val="0"/>
          <c:showBubbleSize val="0"/>
        </c:dLbls>
        <c:gapWidth val="100"/>
        <c:overlap val="-24"/>
        <c:axId val="1744437024"/>
        <c:axId val="1744737824"/>
      </c:barChart>
      <c:catAx>
        <c:axId val="17444370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744737824"/>
        <c:crosses val="autoZero"/>
        <c:auto val="1"/>
        <c:lblAlgn val="ctr"/>
        <c:lblOffset val="100"/>
        <c:noMultiLvlLbl val="0"/>
      </c:catAx>
      <c:valAx>
        <c:axId val="1744737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US" b="1">
                    <a:solidFill>
                      <a:schemeClr val="tx1"/>
                    </a:solidFill>
                  </a:rPr>
                  <a:t>tCO2e</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744437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785813</xdr:colOff>
      <xdr:row>43</xdr:row>
      <xdr:rowOff>157163</xdr:rowOff>
    </xdr:from>
    <xdr:to>
      <xdr:col>13</xdr:col>
      <xdr:colOff>342900</xdr:colOff>
      <xdr:row>59</xdr:row>
      <xdr:rowOff>28574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752474</xdr:colOff>
      <xdr:row>60</xdr:row>
      <xdr:rowOff>161925</xdr:rowOff>
    </xdr:from>
    <xdr:to>
      <xdr:col>13</xdr:col>
      <xdr:colOff>338137</xdr:colOff>
      <xdr:row>79</xdr:row>
      <xdr:rowOff>166687</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695324</xdr:colOff>
      <xdr:row>23</xdr:row>
      <xdr:rowOff>190500</xdr:rowOff>
    </xdr:from>
    <xdr:to>
      <xdr:col>13</xdr:col>
      <xdr:colOff>285750</xdr:colOff>
      <xdr:row>41</xdr:row>
      <xdr:rowOff>119062</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295275</xdr:colOff>
      <xdr:row>0</xdr:row>
      <xdr:rowOff>0</xdr:rowOff>
    </xdr:from>
    <xdr:to>
      <xdr:col>12</xdr:col>
      <xdr:colOff>819151</xdr:colOff>
      <xdr:row>16</xdr:row>
      <xdr:rowOff>100013</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95251</xdr:colOff>
      <xdr:row>9</xdr:row>
      <xdr:rowOff>133349</xdr:rowOff>
    </xdr:from>
    <xdr:to>
      <xdr:col>6</xdr:col>
      <xdr:colOff>1676401</xdr:colOff>
      <xdr:row>14</xdr:row>
      <xdr:rowOff>28574</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4438651" y="2790824"/>
          <a:ext cx="4895850" cy="847725"/>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spcAft>
              <a:spcPts val="0"/>
            </a:spcAft>
          </a:pPr>
          <a:r>
            <a:rPr lang="en-MY" sz="1100" b="1">
              <a:solidFill>
                <a:srgbClr val="FF0000"/>
              </a:solidFill>
              <a:effectLst/>
              <a:ea typeface="Calibri" panose="020F0502020204030204" pitchFamily="34" charset="0"/>
              <a:cs typeface="Times New Roman" panose="02020603050405020304" pitchFamily="18" charset="0"/>
            </a:rPr>
            <a:t>REMARQUE IMPORTANTE POUR LES UTILISATEURS: </a:t>
          </a: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 Veuillez seulement assumer une croissance vigoureuse du palmier à huile </a:t>
          </a:r>
          <a:r>
            <a:rPr lang="en-MY" sz="1100" baseline="0">
              <a:solidFill>
                <a:srgbClr val="000000"/>
              </a:solidFill>
              <a:effectLst/>
              <a:ea typeface="Calibri" panose="020F0502020204030204" pitchFamily="34" charset="0"/>
              <a:cs typeface="Times New Roman" panose="02020603050405020304" pitchFamily="18" charset="0"/>
            </a:rPr>
            <a:t> </a:t>
          </a:r>
          <a:r>
            <a:rPr lang="en-MY" sz="1100">
              <a:solidFill>
                <a:srgbClr val="000000"/>
              </a:solidFill>
              <a:effectLst/>
              <a:ea typeface="Calibri" panose="020F0502020204030204" pitchFamily="34" charset="0"/>
              <a:cs typeface="Times New Roman" panose="02020603050405020304" pitchFamily="18" charset="0"/>
            </a:rPr>
            <a:t>s'il</a:t>
          </a:r>
          <a:r>
            <a:rPr lang="en-MY" sz="1100" baseline="0">
              <a:solidFill>
                <a:srgbClr val="000000"/>
              </a:solidFill>
              <a:effectLst/>
              <a:ea typeface="Calibri" panose="020F0502020204030204" pitchFamily="34" charset="0"/>
              <a:cs typeface="Times New Roman" panose="02020603050405020304" pitchFamily="18" charset="0"/>
            </a:rPr>
            <a:t> s'agit d'</a:t>
          </a:r>
          <a:r>
            <a:rPr lang="en-MY" sz="1100">
              <a:solidFill>
                <a:srgbClr val="000000"/>
              </a:solidFill>
              <a:effectLst/>
              <a:ea typeface="Calibri" panose="020F0502020204030204" pitchFamily="34" charset="0"/>
              <a:cs typeface="Times New Roman" panose="02020603050405020304" pitchFamily="18" charset="0"/>
            </a:rPr>
            <a:t>une opération à l'échelle commerciale. Pour les petits exploitants, veuillez</a:t>
          </a:r>
          <a:r>
            <a:rPr lang="en-MY" sz="1100" baseline="0">
              <a:solidFill>
                <a:srgbClr val="000000"/>
              </a:solidFill>
              <a:effectLst/>
              <a:ea typeface="Calibri" panose="020F0502020204030204" pitchFamily="34" charset="0"/>
              <a:cs typeface="Times New Roman" panose="02020603050405020304" pitchFamily="18" charset="0"/>
            </a:rPr>
            <a:t> </a:t>
          </a:r>
          <a:r>
            <a:rPr lang="en-MY" sz="1100">
              <a:solidFill>
                <a:srgbClr val="000000"/>
              </a:solidFill>
              <a:effectLst/>
              <a:ea typeface="Calibri" panose="020F0502020204030204" pitchFamily="34" charset="0"/>
              <a:cs typeface="Times New Roman" panose="02020603050405020304" pitchFamily="18" charset="0"/>
            </a:rPr>
            <a:t>utiliser l'hypothèse de croissance moyenne du palmier à huile</a:t>
          </a:r>
          <a:endParaRPr lang="en-MY" sz="1100">
            <a:effectLst/>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123824</xdr:colOff>
      <xdr:row>6</xdr:row>
      <xdr:rowOff>19051</xdr:rowOff>
    </xdr:from>
    <xdr:to>
      <xdr:col>21</xdr:col>
      <xdr:colOff>314325</xdr:colOff>
      <xdr:row>24</xdr:row>
      <xdr:rowOff>161925</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5286374" y="1876426"/>
          <a:ext cx="7124701" cy="3990974"/>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MY" sz="1200" b="1">
              <a:solidFill>
                <a:srgbClr val="000000"/>
              </a:solidFill>
              <a:effectLst/>
              <a:ea typeface="Calibri" panose="020F0502020204030204" pitchFamily="34" charset="0"/>
              <a:cs typeface="Calibri" panose="020F0502020204030204" pitchFamily="34" charset="0"/>
            </a:rPr>
            <a:t>Texte</a:t>
          </a:r>
          <a:r>
            <a:rPr lang="en-MY" sz="1200" b="1" baseline="0">
              <a:solidFill>
                <a:srgbClr val="000000"/>
              </a:solidFill>
              <a:effectLst/>
              <a:ea typeface="Calibri" panose="020F0502020204030204" pitchFamily="34" charset="0"/>
              <a:cs typeface="Calibri" panose="020F0502020204030204" pitchFamily="34" charset="0"/>
            </a:rPr>
            <a:t> relatif aux lignes directices</a:t>
          </a:r>
          <a:r>
            <a:rPr lang="en-MY" sz="1200" b="1">
              <a:solidFill>
                <a:srgbClr val="000000"/>
              </a:solidFill>
              <a:effectLst/>
              <a:ea typeface="Calibri" panose="020F0502020204030204" pitchFamily="34" charset="0"/>
              <a:cs typeface="Calibri" panose="020F0502020204030204" pitchFamily="34" charset="0"/>
            </a:rPr>
            <a:t> </a:t>
          </a:r>
          <a:r>
            <a:rPr lang="en-MY" sz="1200" b="1" baseline="0">
              <a:solidFill>
                <a:srgbClr val="000000"/>
              </a:solidFill>
              <a:effectLst/>
              <a:ea typeface="Calibri" panose="020F0502020204030204" pitchFamily="34" charset="0"/>
              <a:cs typeface="Calibri" panose="020F0502020204030204" pitchFamily="34" charset="0"/>
            </a:rPr>
            <a:t>sur l</a:t>
          </a:r>
          <a:r>
            <a:rPr lang="en-MY" sz="1200" b="1">
              <a:solidFill>
                <a:srgbClr val="000000"/>
              </a:solidFill>
              <a:effectLst/>
              <a:ea typeface="Calibri" panose="020F0502020204030204" pitchFamily="34" charset="0"/>
              <a:cs typeface="Calibri" panose="020F0502020204030204" pitchFamily="34" charset="0"/>
            </a:rPr>
            <a:t>a nappe phréatique pour le Palm GHG </a:t>
          </a:r>
          <a:r>
            <a:rPr lang="en-MY" sz="1200">
              <a:solidFill>
                <a:srgbClr val="000000"/>
              </a:solidFill>
              <a:effectLst/>
              <a:ea typeface="Calibri" panose="020F0502020204030204" pitchFamily="34" charset="0"/>
              <a:cs typeface="Calibri" panose="020F0502020204030204" pitchFamily="34" charset="0"/>
            </a:rPr>
            <a:t> </a:t>
          </a:r>
        </a:p>
        <a:p>
          <a:pPr>
            <a:spcAft>
              <a:spcPts val="0"/>
            </a:spcAft>
          </a:pPr>
          <a:r>
            <a:rPr lang="en-MY" sz="1100">
              <a:solidFill>
                <a:srgbClr val="000000"/>
              </a:solidFill>
              <a:effectLst/>
              <a:ea typeface="Calibri" panose="020F0502020204030204" pitchFamily="34" charset="0"/>
              <a:cs typeface="Calibri" panose="020F0502020204030204" pitchFamily="34" charset="0"/>
            </a:rPr>
            <a:t>Afin d'apporter une certaine clarté et une</a:t>
          </a:r>
          <a:r>
            <a:rPr lang="en-MY" sz="1100" baseline="0">
              <a:solidFill>
                <a:srgbClr val="000000"/>
              </a:solidFill>
              <a:effectLst/>
              <a:ea typeface="Calibri" panose="020F0502020204030204" pitchFamily="34" charset="0"/>
              <a:cs typeface="Calibri" panose="020F0502020204030204" pitchFamily="34" charset="0"/>
            </a:rPr>
            <a:t> </a:t>
          </a:r>
          <a:r>
            <a:rPr lang="en-MY" sz="1100">
              <a:solidFill>
                <a:srgbClr val="000000"/>
              </a:solidFill>
              <a:effectLst/>
              <a:ea typeface="Calibri" panose="020F0502020204030204" pitchFamily="34" charset="0"/>
              <a:cs typeface="Calibri" panose="020F0502020204030204" pitchFamily="34" charset="0"/>
            </a:rPr>
            <a:t>assistance aux entreprises et aux auditeurs sur l'utilisation des valeurs par défaut fournies, le sous-groupe de travail sur la tourbe au sein du</a:t>
          </a:r>
          <a:r>
            <a:rPr lang="en-MY" sz="1100" baseline="0">
              <a:solidFill>
                <a:srgbClr val="000000"/>
              </a:solidFill>
              <a:effectLst/>
              <a:ea typeface="Calibri" panose="020F0502020204030204" pitchFamily="34" charset="0"/>
              <a:cs typeface="Calibri" panose="020F0502020204030204" pitchFamily="34" charset="0"/>
            </a:rPr>
            <a:t> </a:t>
          </a:r>
          <a:r>
            <a:rPr lang="en-MY" sz="1100">
              <a:solidFill>
                <a:srgbClr val="000000"/>
              </a:solidFill>
              <a:effectLst/>
              <a:ea typeface="Calibri" panose="020F0502020204030204" pitchFamily="34" charset="0"/>
              <a:cs typeface="Calibri" panose="020F0502020204030204" pitchFamily="34" charset="0"/>
            </a:rPr>
            <a:t>Groupe de travail  de la RSPO sur la réduction des émissions (ERWG ) a fourni le texte relatif aux lignes directrices ci-dessous. Le ERWG encourage l'utilisation de mesures réelles sur le terrain plutôt que l'utilisation de valeurs par défaut pour une meilleure estimation des émissions.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Bonne gestion de l'eau </a:t>
          </a:r>
          <a:r>
            <a:rPr lang="en-MY" sz="1100">
              <a:solidFill>
                <a:srgbClr val="000000"/>
              </a:solidFill>
              <a:effectLst/>
              <a:ea typeface="Calibri" panose="020F0502020204030204" pitchFamily="34" charset="0"/>
              <a:cs typeface="Calibri" panose="020F0502020204030204" pitchFamily="34" charset="0"/>
            </a:rPr>
            <a:t>comprendra les éléments suivants: les structures de contrôle de l'eau ont été placés de façon à avoir une butée/déversoir</a:t>
          </a:r>
          <a:r>
            <a:rPr lang="en-MY" sz="1100" baseline="0">
              <a:solidFill>
                <a:srgbClr val="000000"/>
              </a:solidFill>
              <a:effectLst/>
              <a:ea typeface="Calibri" panose="020F0502020204030204" pitchFamily="34" charset="0"/>
              <a:cs typeface="Calibri" panose="020F0502020204030204" pitchFamily="34" charset="0"/>
            </a:rPr>
            <a:t> </a:t>
          </a:r>
          <a:r>
            <a:rPr lang="en-MY" sz="1100">
              <a:solidFill>
                <a:srgbClr val="000000"/>
              </a:solidFill>
              <a:effectLst/>
              <a:ea typeface="Calibri" panose="020F0502020204030204" pitchFamily="34" charset="0"/>
              <a:cs typeface="Calibri" panose="020F0502020204030204" pitchFamily="34" charset="0"/>
            </a:rPr>
            <a:t>pour chaque baisse de 20 cm en élévation (à savoir la baisse sur la face de la butée</a:t>
          </a:r>
          <a:r>
            <a:rPr lang="en-MY" sz="1100" baseline="0">
              <a:solidFill>
                <a:srgbClr val="000000"/>
              </a:solidFill>
              <a:effectLst/>
              <a:ea typeface="Calibri" panose="020F0502020204030204" pitchFamily="34" charset="0"/>
              <a:cs typeface="Calibri" panose="020F0502020204030204" pitchFamily="34" charset="0"/>
            </a:rPr>
            <a:t> </a:t>
          </a:r>
          <a:r>
            <a:rPr lang="en-MY" sz="1100">
              <a:solidFill>
                <a:srgbClr val="000000"/>
              </a:solidFill>
              <a:effectLst/>
              <a:ea typeface="Calibri" panose="020F0502020204030204" pitchFamily="34" charset="0"/>
              <a:cs typeface="Calibri" panose="020F0502020204030204" pitchFamily="34" charset="0"/>
            </a:rPr>
            <a:t>ne devrait pas être plus de 20 cm) lorsque cela est possible. La gestion et  le plan de suivi de l'eau doivent être mis en place et </a:t>
          </a:r>
          <a:r>
            <a:rPr lang="en-MY" sz="1100" baseline="0">
              <a:solidFill>
                <a:srgbClr val="000000"/>
              </a:solidFill>
              <a:effectLst/>
              <a:ea typeface="Calibri" panose="020F0502020204030204" pitchFamily="34" charset="0"/>
              <a:cs typeface="Calibri" panose="020F0502020204030204" pitchFamily="34" charset="0"/>
            </a:rPr>
            <a:t> le </a:t>
          </a:r>
          <a:r>
            <a:rPr lang="en-MY" sz="1100">
              <a:solidFill>
                <a:srgbClr val="000000"/>
              </a:solidFill>
              <a:effectLst/>
              <a:ea typeface="Calibri" panose="020F0502020204030204" pitchFamily="34" charset="0"/>
              <a:cs typeface="Calibri" panose="020F0502020204030204" pitchFamily="34" charset="0"/>
            </a:rPr>
            <a:t>suivi de l'eau effectué</a:t>
          </a:r>
          <a:r>
            <a:rPr lang="en-MY" sz="1100" baseline="0">
              <a:solidFill>
                <a:srgbClr val="000000"/>
              </a:solidFill>
              <a:effectLst/>
              <a:ea typeface="Calibri" panose="020F0502020204030204" pitchFamily="34" charset="0"/>
              <a:cs typeface="Calibri" panose="020F0502020204030204" pitchFamily="34" charset="0"/>
            </a:rPr>
            <a:t> </a:t>
          </a:r>
          <a:r>
            <a:rPr lang="en-MY" sz="1100">
              <a:solidFill>
                <a:srgbClr val="000000"/>
              </a:solidFill>
              <a:effectLst/>
              <a:ea typeface="Calibri" panose="020F0502020204030204" pitchFamily="34" charset="0"/>
              <a:cs typeface="Calibri" panose="020F0502020204030204" pitchFamily="34" charset="0"/>
            </a:rPr>
            <a:t>et les résultats enregistrés au moins une fois par mois. Une réponse de la direction devrait être mise en évidence sur la base du suivi pour veiller à ce que les niveaux d'eau soient maintenus entre 50-70 cm en dessous de la surface dans les drains de collecte et 40-60cm dans les piézomètres/drains.</a:t>
          </a:r>
        </a:p>
        <a:p>
          <a:pPr>
            <a:spcAft>
              <a:spcPts val="0"/>
            </a:spcAft>
          </a:pPr>
          <a:r>
            <a:rPr lang="en-MY" sz="1100">
              <a:solidFill>
                <a:srgbClr val="000000"/>
              </a:solidFill>
              <a:effectLst/>
              <a:ea typeface="Calibri" panose="020F0502020204030204" pitchFamily="34" charset="0"/>
              <a:cs typeface="Calibri" panose="020F0502020204030204" pitchFamily="34" charset="0"/>
            </a:rPr>
            <a:t>La mesure par défaut pour une bonne gestion de l'eau dans le PalmGHG est de 60 cm.</a:t>
          </a:r>
        </a:p>
        <a:p>
          <a:pPr>
            <a:spcAft>
              <a:spcPts val="0"/>
            </a:spcAft>
          </a:pPr>
          <a:r>
            <a:rPr lang="en-MY" sz="1100" b="1">
              <a:solidFill>
                <a:srgbClr val="000000"/>
              </a:solidFill>
              <a:effectLst/>
              <a:ea typeface="Calibri" panose="020F0502020204030204" pitchFamily="34" charset="0"/>
              <a:cs typeface="Calibri" panose="020F0502020204030204" pitchFamily="34" charset="0"/>
            </a:rPr>
            <a:t>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Gestion partielle de l'eau </a:t>
          </a:r>
          <a:r>
            <a:rPr lang="en-MY" sz="1100">
              <a:solidFill>
                <a:srgbClr val="000000"/>
              </a:solidFill>
              <a:effectLst/>
              <a:ea typeface="Calibri" panose="020F0502020204030204" pitchFamily="34" charset="0"/>
              <a:cs typeface="Calibri" panose="020F0502020204030204" pitchFamily="34" charset="0"/>
            </a:rPr>
            <a:t>comprendra des structures de contrôle de l'eau et le programme de suivi en place</a:t>
          </a:r>
          <a:r>
            <a:rPr lang="en-MY" sz="1100" baseline="0">
              <a:solidFill>
                <a:srgbClr val="000000"/>
              </a:solidFill>
              <a:effectLst/>
              <a:ea typeface="Calibri" panose="020F0502020204030204" pitchFamily="34" charset="0"/>
              <a:cs typeface="Calibri" panose="020F0502020204030204" pitchFamily="34" charset="0"/>
            </a:rPr>
            <a:t> </a:t>
          </a:r>
          <a:r>
            <a:rPr lang="en-MY" sz="1100">
              <a:solidFill>
                <a:srgbClr val="000000"/>
              </a:solidFill>
              <a:effectLst/>
              <a:ea typeface="Calibri" panose="020F0502020204030204" pitchFamily="34" charset="0"/>
              <a:cs typeface="Calibri" panose="020F0502020204030204" pitchFamily="34" charset="0"/>
            </a:rPr>
            <a:t>mais elle n'est pas adéquate pour répondre aux normes de bonne gestion et pour</a:t>
          </a:r>
          <a:r>
            <a:rPr lang="en-MY" sz="1100" baseline="0">
              <a:solidFill>
                <a:srgbClr val="000000"/>
              </a:solidFill>
              <a:effectLst/>
              <a:ea typeface="Calibri" panose="020F0502020204030204" pitchFamily="34" charset="0"/>
              <a:cs typeface="Calibri" panose="020F0502020204030204" pitchFamily="34" charset="0"/>
            </a:rPr>
            <a:t> </a:t>
          </a:r>
          <a:r>
            <a:rPr lang="en-MY" sz="1100">
              <a:solidFill>
                <a:srgbClr val="000000"/>
              </a:solidFill>
              <a:effectLst/>
              <a:ea typeface="Calibri" panose="020F0502020204030204" pitchFamily="34" charset="0"/>
              <a:cs typeface="Calibri" panose="020F0502020204030204" pitchFamily="34" charset="0"/>
            </a:rPr>
            <a:t>assurer des niveaux d'eau entre 50-70 cm  dans</a:t>
          </a:r>
          <a:r>
            <a:rPr lang="en-MY" sz="1100" baseline="0">
              <a:solidFill>
                <a:srgbClr val="000000"/>
              </a:solidFill>
              <a:effectLst/>
              <a:ea typeface="Calibri" panose="020F0502020204030204" pitchFamily="34" charset="0"/>
              <a:cs typeface="Calibri" panose="020F0502020204030204" pitchFamily="34" charset="0"/>
            </a:rPr>
            <a:t> les</a:t>
          </a:r>
          <a:r>
            <a:rPr lang="en-MY" sz="1100">
              <a:solidFill>
                <a:srgbClr val="000000"/>
              </a:solidFill>
              <a:effectLst/>
              <a:ea typeface="Calibri" panose="020F0502020204030204" pitchFamily="34" charset="0"/>
              <a:cs typeface="Calibri" panose="020F0502020204030204" pitchFamily="34" charset="0"/>
            </a:rPr>
            <a:t> drains de collecte</a:t>
          </a:r>
          <a:r>
            <a:rPr lang="en-MY" sz="1100" baseline="0">
              <a:solidFill>
                <a:srgbClr val="000000"/>
              </a:solidFill>
              <a:effectLst/>
              <a:ea typeface="Calibri" panose="020F0502020204030204" pitchFamily="34" charset="0"/>
              <a:cs typeface="Calibri" panose="020F0502020204030204" pitchFamily="34" charset="0"/>
            </a:rPr>
            <a:t> </a:t>
          </a:r>
          <a:r>
            <a:rPr lang="en-MY" sz="1100">
              <a:solidFill>
                <a:srgbClr val="000000"/>
              </a:solidFill>
              <a:effectLst/>
              <a:ea typeface="Calibri" panose="020F0502020204030204" pitchFamily="34" charset="0"/>
              <a:cs typeface="Calibri" panose="020F0502020204030204" pitchFamily="34" charset="0"/>
            </a:rPr>
            <a:t>et entre 40-60 cm dans le champ.</a:t>
          </a:r>
        </a:p>
        <a:p>
          <a:pPr>
            <a:spcAft>
              <a:spcPts val="0"/>
            </a:spcAft>
          </a:pPr>
          <a:r>
            <a:rPr lang="en-MY" sz="1100">
              <a:solidFill>
                <a:srgbClr val="000000"/>
              </a:solidFill>
              <a:effectLst/>
              <a:ea typeface="Calibri" panose="020F0502020204030204" pitchFamily="34" charset="0"/>
              <a:cs typeface="Calibri" panose="020F0502020204030204" pitchFamily="34" charset="0"/>
            </a:rPr>
            <a:t>La mesure par défaut pour la gestion de l'eau partielle du PalmGHG est de 75 cm.</a:t>
          </a:r>
          <a:r>
            <a:rPr lang="en-MY" sz="1100" b="1">
              <a:solidFill>
                <a:srgbClr val="000000"/>
              </a:solidFill>
              <a:effectLst/>
              <a:ea typeface="Calibri" panose="020F0502020204030204" pitchFamily="34" charset="0"/>
              <a:cs typeface="Calibri" panose="020F0502020204030204" pitchFamily="34" charset="0"/>
            </a:rPr>
            <a:t>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endParaRPr lang="en-MY" sz="1100" b="1">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Pas</a:t>
          </a:r>
          <a:r>
            <a:rPr lang="en-MY" sz="1100" b="1" baseline="0">
              <a:solidFill>
                <a:srgbClr val="000000"/>
              </a:solidFill>
              <a:effectLst/>
              <a:ea typeface="Calibri" panose="020F0502020204030204" pitchFamily="34" charset="0"/>
              <a:cs typeface="Calibri" panose="020F0502020204030204" pitchFamily="34" charset="0"/>
            </a:rPr>
            <a:t> de gestion de l'eau</a:t>
          </a:r>
          <a:r>
            <a:rPr lang="en-MY" sz="1100" b="1">
              <a:solidFill>
                <a:srgbClr val="000000"/>
              </a:solidFill>
              <a:effectLst/>
              <a:ea typeface="Calibri" panose="020F0502020204030204" pitchFamily="34" charset="0"/>
              <a:cs typeface="Calibri" panose="020F0502020204030204" pitchFamily="34" charset="0"/>
            </a:rPr>
            <a:t> </a:t>
          </a:r>
          <a:r>
            <a:rPr lang="en-MY" sz="1100">
              <a:solidFill>
                <a:srgbClr val="000000"/>
              </a:solidFill>
              <a:effectLst/>
              <a:ea typeface="Calibri" panose="020F0502020204030204" pitchFamily="34" charset="0"/>
              <a:cs typeface="Calibri" panose="020F0502020204030204" pitchFamily="34" charset="0"/>
            </a:rPr>
            <a:t>comprendra soit pas de structures de contrôle de l'eau ou pas de programme de suivi. </a:t>
          </a:r>
          <a:r>
            <a:rPr lang="en-MY" sz="1100">
              <a:effectLst/>
              <a:ea typeface="Calibri" panose="020F0502020204030204" pitchFamily="34" charset="0"/>
              <a:cs typeface="Times New Roman" panose="02020603050405020304" pitchFamily="18" charset="0"/>
            </a:rPr>
            <a:t>e default measurement for no water management in PalmGHG is 100 cm.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76199</xdr:colOff>
      <xdr:row>11</xdr:row>
      <xdr:rowOff>133350</xdr:rowOff>
    </xdr:from>
    <xdr:to>
      <xdr:col>9</xdr:col>
      <xdr:colOff>1400174</xdr:colOff>
      <xdr:row>16</xdr:row>
      <xdr:rowOff>142875</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9848849" y="2733675"/>
          <a:ext cx="2257425" cy="1047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MY" sz="1100">
              <a:solidFill>
                <a:schemeClr val="tx1"/>
              </a:solidFill>
            </a:rPr>
            <a:t>Besoin d'insérer une note consultative ici pour inclure le facteur d'émission pour le biodiesel et le bioéthanol basé sur le mélange et les matières premières</a:t>
          </a:r>
          <a:endParaRPr lang="en-MY" sz="1100"/>
        </a:p>
      </xdr:txBody>
    </xdr:sp>
    <xdr:clientData/>
  </xdr:twoCellAnchor>
  <xdr:twoCellAnchor>
    <xdr:from>
      <xdr:col>2</xdr:col>
      <xdr:colOff>28575</xdr:colOff>
      <xdr:row>40</xdr:row>
      <xdr:rowOff>219075</xdr:rowOff>
    </xdr:from>
    <xdr:to>
      <xdr:col>5</xdr:col>
      <xdr:colOff>285750</xdr:colOff>
      <xdr:row>63</xdr:row>
      <xdr:rowOff>9525</xdr:rowOff>
    </xdr:to>
    <xdr:cxnSp macro="">
      <xdr:nvCxnSpPr>
        <xdr:cNvPr id="4" name="Straight Arrow Connector 3">
          <a:extLst>
            <a:ext uri="{FF2B5EF4-FFF2-40B4-BE49-F238E27FC236}">
              <a16:creationId xmlns:a16="http://schemas.microsoft.com/office/drawing/2014/main" id="{00000000-0008-0000-0C00-000004000000}"/>
            </a:ext>
          </a:extLst>
        </xdr:cNvPr>
        <xdr:cNvCxnSpPr/>
      </xdr:nvCxnSpPr>
      <xdr:spPr>
        <a:xfrm flipV="1">
          <a:off x="4695825" y="8896350"/>
          <a:ext cx="3181350" cy="4781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20</xdr:row>
      <xdr:rowOff>95250</xdr:rowOff>
    </xdr:from>
    <xdr:to>
      <xdr:col>7</xdr:col>
      <xdr:colOff>533400</xdr:colOff>
      <xdr:row>24</xdr:row>
      <xdr:rowOff>142875</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5048250" y="4533900"/>
          <a:ext cx="5257800" cy="847725"/>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spcAft>
              <a:spcPts val="0"/>
            </a:spcAft>
          </a:pPr>
          <a:r>
            <a:rPr lang="en-MY" sz="1100" b="1">
              <a:solidFill>
                <a:srgbClr val="000000"/>
              </a:solidFill>
              <a:effectLst/>
              <a:ea typeface="Calibri" panose="020F0502020204030204" pitchFamily="34" charset="0"/>
              <a:cs typeface="Times New Roman" panose="02020603050405020304" pitchFamily="18" charset="0"/>
            </a:rPr>
            <a:t>Activités relatives a l'utilisation</a:t>
          </a:r>
          <a:r>
            <a:rPr lang="en-MY" sz="1100" b="1" baseline="0">
              <a:solidFill>
                <a:srgbClr val="000000"/>
              </a:solidFill>
              <a:effectLst/>
              <a:ea typeface="Calibri" panose="020F0502020204030204" pitchFamily="34" charset="0"/>
              <a:cs typeface="Times New Roman" panose="02020603050405020304" pitchFamily="18" charset="0"/>
            </a:rPr>
            <a:t> de carburants usine annuelle sur le sit</a:t>
          </a:r>
          <a:r>
            <a:rPr lang="en-MY" sz="1100" b="1">
              <a:solidFill>
                <a:srgbClr val="000000"/>
              </a:solidFill>
              <a:effectLst/>
              <a:ea typeface="Calibri" panose="020F0502020204030204" pitchFamily="34" charset="0"/>
              <a:cs typeface="Times New Roman" panose="02020603050405020304" pitchFamily="18" charset="0"/>
            </a:rPr>
            <a:t>e</a:t>
          </a:r>
          <a:endParaRPr lang="en-MY" sz="1100" b="1">
            <a:effectLst/>
            <a:ea typeface="Calibri" panose="020F0502020204030204" pitchFamily="34" charset="0"/>
            <a:cs typeface="Times New Roman" panose="02020603050405020304" pitchFamily="18" charset="0"/>
          </a:endParaRP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 démarrage des chaudières</a:t>
          </a:r>
          <a:endParaRPr lang="en-MY" sz="1100">
            <a:effectLst/>
            <a:ea typeface="Calibri" panose="020F0502020204030204" pitchFamily="34" charset="0"/>
            <a:cs typeface="Times New Roman" panose="02020603050405020304" pitchFamily="18" charset="0"/>
          </a:endParaRP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 fonctionnement du groupe électrogène pendant les temps morts</a:t>
          </a: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 véhicules-chargeurs de l'usine, les chariots élévateurs, les véhicules utilisés par le personnel et autour de</a:t>
          </a:r>
          <a:r>
            <a:rPr lang="en-MY" sz="1100" baseline="0">
              <a:solidFill>
                <a:srgbClr val="000000"/>
              </a:solidFill>
              <a:effectLst/>
              <a:ea typeface="Calibri" panose="020F0502020204030204" pitchFamily="34" charset="0"/>
              <a:cs typeface="Times New Roman" panose="02020603050405020304" pitchFamily="18" charset="0"/>
            </a:rPr>
            <a:t> l'usine</a:t>
          </a:r>
          <a:endParaRPr lang="en-MY" sz="1100">
            <a:effectLst/>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yrakotovololona/Desktop/Bluemont%20DRAFT%20Writing/Bank%20Valuation/C:/TEMP/c/Biofuels%20GHG%20calculator%20-%20version%203_0_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dryrakotovololona/Desktop/Bluemont%20DRAFT%20Writing/Bank%20Valuation/C:/Users/Amir.Abdul-Manan/AppData/Local/Temp/wzfc68/BioGrace_GHG_calculations_-_version_4_-_Publ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i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19"/>
  <sheetViews>
    <sheetView showGridLines="0" topLeftCell="A3" zoomScaleSheetLayoutView="100" workbookViewId="0">
      <selection activeCell="A5" sqref="A5"/>
    </sheetView>
  </sheetViews>
  <sheetFormatPr defaultColWidth="9.140625" defaultRowHeight="15" x14ac:dyDescent="0.25"/>
  <cols>
    <col min="1" max="1" width="171.85546875" style="58" customWidth="1"/>
    <col min="2" max="16384" width="9.140625" style="58"/>
  </cols>
  <sheetData>
    <row r="1" spans="1:1" ht="54" customHeight="1" x14ac:dyDescent="0.5">
      <c r="A1" s="370" t="s">
        <v>135</v>
      </c>
    </row>
    <row r="2" spans="1:1" s="337" customFormat="1" ht="134.25" customHeight="1" thickBot="1" x14ac:dyDescent="0.3">
      <c r="A2" s="340" t="s">
        <v>518</v>
      </c>
    </row>
    <row r="3" spans="1:1" ht="193.5" customHeight="1" thickTop="1" thickBot="1" x14ac:dyDescent="0.3">
      <c r="A3" s="373" t="s">
        <v>519</v>
      </c>
    </row>
    <row r="4" spans="1:1" ht="15.75" thickTop="1" x14ac:dyDescent="0.25">
      <c r="A4" s="266"/>
    </row>
    <row r="5" spans="1:1" x14ac:dyDescent="0.2">
      <c r="A5" s="471" t="s">
        <v>521</v>
      </c>
    </row>
    <row r="6" spans="1:1" x14ac:dyDescent="0.25">
      <c r="A6" s="266"/>
    </row>
    <row r="7" spans="1:1" x14ac:dyDescent="0.25">
      <c r="A7" s="266"/>
    </row>
    <row r="8" spans="1:1" x14ac:dyDescent="0.25">
      <c r="A8" s="266"/>
    </row>
    <row r="9" spans="1:1" x14ac:dyDescent="0.25">
      <c r="A9" s="266"/>
    </row>
    <row r="10" spans="1:1" x14ac:dyDescent="0.25">
      <c r="A10" s="266"/>
    </row>
    <row r="11" spans="1:1" x14ac:dyDescent="0.25">
      <c r="A11" s="56"/>
    </row>
    <row r="12" spans="1:1" x14ac:dyDescent="0.25">
      <c r="A12" s="267"/>
    </row>
    <row r="13" spans="1:1" x14ac:dyDescent="0.25">
      <c r="A13" s="57"/>
    </row>
    <row r="14" spans="1:1" x14ac:dyDescent="0.25">
      <c r="A14" s="266"/>
    </row>
    <row r="15" spans="1:1" x14ac:dyDescent="0.25">
      <c r="A15" s="56"/>
    </row>
    <row r="16" spans="1:1" x14ac:dyDescent="0.25">
      <c r="A16" s="56"/>
    </row>
    <row r="17" spans="1:1" x14ac:dyDescent="0.25">
      <c r="A17" s="34"/>
    </row>
    <row r="18" spans="1:1" x14ac:dyDescent="0.25">
      <c r="A18" s="56"/>
    </row>
    <row r="19" spans="1:1" x14ac:dyDescent="0.25">
      <c r="A19" s="56"/>
    </row>
  </sheetData>
  <sheetProtection selectLockedCells="1" selectUnlockedCells="1"/>
  <customSheetViews>
    <customSheetView guid="{E65377FD-65C5-4E48-ADBC-1C49981F2400}">
      <pageMargins left="0.7" right="0.7" top="0.75" bottom="0.75" header="0.3" footer="0.3"/>
      <pageSetup orientation="portrait" r:id="rId1"/>
    </customSheetView>
  </customSheetView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S104"/>
  <sheetViews>
    <sheetView topLeftCell="A88" zoomScale="120" zoomScaleNormal="120" zoomScalePageLayoutView="120" workbookViewId="0">
      <selection activeCell="A101" sqref="A101"/>
    </sheetView>
  </sheetViews>
  <sheetFormatPr defaultColWidth="9.140625" defaultRowHeight="15" x14ac:dyDescent="0.25"/>
  <cols>
    <col min="1" max="1" width="36.140625" style="62" customWidth="1"/>
    <col min="2" max="2" width="9" style="62" customWidth="1"/>
    <col min="3" max="3" width="9.42578125" style="62" customWidth="1"/>
    <col min="4" max="4" width="12" style="62" customWidth="1"/>
    <col min="5" max="5" width="10" style="62" customWidth="1"/>
    <col min="6" max="6" width="13.140625" style="62" customWidth="1"/>
    <col min="7" max="7" width="20.85546875" style="62" customWidth="1"/>
    <col min="8" max="8" width="24.7109375" style="62" customWidth="1"/>
    <col min="9" max="9" width="12.7109375" style="62" customWidth="1"/>
    <col min="10" max="11" width="10" style="62" customWidth="1"/>
    <col min="12" max="12" width="8.7109375" style="62" customWidth="1"/>
    <col min="13" max="14" width="9.42578125" style="62" customWidth="1"/>
    <col min="15" max="15" width="7.7109375" style="62" customWidth="1"/>
    <col min="16" max="16" width="10.42578125" style="62" customWidth="1"/>
    <col min="17" max="17" width="12" style="62" customWidth="1"/>
    <col min="18" max="18" width="9.7109375" style="62" customWidth="1"/>
    <col min="19" max="16384" width="9.140625" style="62"/>
  </cols>
  <sheetData>
    <row r="1" spans="1:19" ht="18" x14ac:dyDescent="0.35">
      <c r="A1" s="77" t="s">
        <v>312</v>
      </c>
      <c r="G1" s="65"/>
      <c r="L1" s="69"/>
    </row>
    <row r="2" spans="1:19" x14ac:dyDescent="0.25">
      <c r="A2" s="77"/>
      <c r="G2" s="65"/>
      <c r="L2" s="69"/>
    </row>
    <row r="3" spans="1:19" ht="77.25" customHeight="1" x14ac:dyDescent="0.25">
      <c r="A3" s="435" t="s">
        <v>322</v>
      </c>
      <c r="B3" s="436"/>
      <c r="C3" s="436"/>
      <c r="D3" s="436"/>
      <c r="E3" s="436"/>
      <c r="F3" s="436"/>
      <c r="G3" s="420"/>
      <c r="H3" s="420"/>
      <c r="I3" s="420"/>
      <c r="J3" s="421"/>
    </row>
    <row r="4" spans="1:19" x14ac:dyDescent="0.25">
      <c r="A4" s="71"/>
      <c r="B4" s="79"/>
      <c r="I4" s="78"/>
      <c r="J4" s="78"/>
    </row>
    <row r="5" spans="1:19" ht="45" x14ac:dyDescent="0.25">
      <c r="A5" s="146" t="s">
        <v>313</v>
      </c>
      <c r="B5" s="45"/>
      <c r="I5" s="87"/>
      <c r="J5" s="87"/>
    </row>
    <row r="6" spans="1:19" x14ac:dyDescent="0.25">
      <c r="A6" s="72"/>
      <c r="B6" s="91"/>
      <c r="I6" s="78"/>
      <c r="J6" s="78"/>
    </row>
    <row r="7" spans="1:19" ht="41.25" customHeight="1" x14ac:dyDescent="0.25">
      <c r="A7" s="72" t="s">
        <v>182</v>
      </c>
      <c r="B7" s="434" t="s">
        <v>314</v>
      </c>
      <c r="C7" s="434"/>
      <c r="D7" s="81" t="s">
        <v>315</v>
      </c>
      <c r="E7" s="81" t="s">
        <v>192</v>
      </c>
      <c r="F7" s="81" t="s">
        <v>1</v>
      </c>
      <c r="J7" s="64"/>
      <c r="K7" s="64"/>
      <c r="L7" s="64"/>
      <c r="M7" s="64"/>
      <c r="N7" s="64"/>
      <c r="O7" s="64"/>
      <c r="P7" s="64"/>
      <c r="Q7" s="64"/>
      <c r="R7" s="64"/>
      <c r="S7" s="68"/>
    </row>
    <row r="8" spans="1:19" ht="47.25" customHeight="1" x14ac:dyDescent="0.35">
      <c r="A8" s="80"/>
      <c r="B8" s="73" t="s">
        <v>316</v>
      </c>
      <c r="C8" s="128" t="s">
        <v>39</v>
      </c>
      <c r="D8" s="128" t="s">
        <v>40</v>
      </c>
      <c r="E8" s="128" t="s">
        <v>40</v>
      </c>
      <c r="F8" s="128" t="s">
        <v>40</v>
      </c>
      <c r="G8" s="76"/>
      <c r="H8" s="128"/>
      <c r="I8" s="128"/>
      <c r="J8" s="128"/>
      <c r="K8" s="81"/>
      <c r="L8" s="64"/>
      <c r="M8" s="64"/>
      <c r="N8" s="64"/>
      <c r="O8" s="64"/>
      <c r="P8" s="64"/>
      <c r="Q8" s="64"/>
      <c r="R8" s="64"/>
      <c r="S8" s="68"/>
    </row>
    <row r="9" spans="1:19" x14ac:dyDescent="0.25">
      <c r="A9" s="62" t="s">
        <v>6</v>
      </c>
      <c r="B9" s="147">
        <v>6000</v>
      </c>
      <c r="C9" s="107">
        <f>B9*'Donnees par defaut'!$B$6</f>
        <v>106.62</v>
      </c>
      <c r="D9" s="107">
        <f>$B$5*'Donnees par defaut'!$B$14*2</f>
        <v>0</v>
      </c>
      <c r="E9" s="118">
        <f>'Donnees par defaut'!$G40</f>
        <v>2380</v>
      </c>
      <c r="F9" s="94">
        <f>SUM(C9:E9)</f>
        <v>2486.62</v>
      </c>
      <c r="G9" s="76"/>
      <c r="H9" s="76"/>
      <c r="I9" s="76"/>
      <c r="J9" s="107"/>
      <c r="K9" s="64"/>
      <c r="L9" s="64"/>
      <c r="M9" s="64"/>
      <c r="N9" s="64"/>
      <c r="O9" s="64"/>
      <c r="P9" s="64"/>
      <c r="Q9" s="64"/>
      <c r="R9" s="64"/>
      <c r="S9" s="68"/>
    </row>
    <row r="10" spans="1:19" x14ac:dyDescent="0.25">
      <c r="A10" s="62" t="s">
        <v>2</v>
      </c>
      <c r="B10" s="147">
        <v>6000</v>
      </c>
      <c r="C10" s="107">
        <f>B10*'Donnees par defaut'!$B$6</f>
        <v>106.62</v>
      </c>
      <c r="D10" s="107">
        <f>$B$5*'Donnees par defaut'!$B$14*2</f>
        <v>0</v>
      </c>
      <c r="E10" s="118">
        <f>'Donnees par defaut'!$G41</f>
        <v>340</v>
      </c>
      <c r="F10" s="94">
        <f t="shared" ref="F10:F18" si="0">SUM(C10:E10)</f>
        <v>446.62</v>
      </c>
      <c r="G10" s="76"/>
      <c r="H10" s="76"/>
      <c r="I10" s="76"/>
      <c r="J10" s="107"/>
      <c r="K10" s="64"/>
      <c r="L10" s="64"/>
      <c r="M10" s="64"/>
      <c r="N10" s="64"/>
      <c r="O10" s="64"/>
      <c r="P10" s="64"/>
      <c r="Q10" s="64"/>
      <c r="R10" s="64"/>
      <c r="S10" s="68"/>
    </row>
    <row r="11" spans="1:19" x14ac:dyDescent="0.25">
      <c r="A11" s="62" t="s">
        <v>7</v>
      </c>
      <c r="B11" s="147">
        <v>6000</v>
      </c>
      <c r="C11" s="107">
        <f>B11*'Donnees par defaut'!$B$6</f>
        <v>106.62</v>
      </c>
      <c r="D11" s="107">
        <f>$B$5*'Donnees par defaut'!$B$14*2</f>
        <v>0</v>
      </c>
      <c r="E11" s="118">
        <f>'Donnees par defaut'!$G42</f>
        <v>460</v>
      </c>
      <c r="F11" s="94">
        <f t="shared" si="0"/>
        <v>566.62</v>
      </c>
      <c r="G11" s="76"/>
      <c r="H11" s="76"/>
      <c r="I11" s="76"/>
      <c r="J11" s="107"/>
      <c r="K11" s="64"/>
      <c r="L11" s="64"/>
      <c r="M11" s="64"/>
      <c r="N11" s="64"/>
      <c r="O11" s="64"/>
      <c r="P11" s="64"/>
      <c r="Q11" s="64"/>
      <c r="R11" s="64"/>
      <c r="S11" s="68"/>
    </row>
    <row r="12" spans="1:19" x14ac:dyDescent="0.25">
      <c r="A12" s="62" t="s">
        <v>3</v>
      </c>
      <c r="B12" s="147">
        <v>6000</v>
      </c>
      <c r="C12" s="107">
        <f>B12*'Donnees par defaut'!$B$6</f>
        <v>106.62</v>
      </c>
      <c r="D12" s="107">
        <f>$B$5*'Donnees par defaut'!$B$14*2</f>
        <v>0</v>
      </c>
      <c r="E12" s="118">
        <f>'Donnees par defaut'!$G43</f>
        <v>1340</v>
      </c>
      <c r="F12" s="94">
        <f t="shared" si="0"/>
        <v>1446.62</v>
      </c>
      <c r="G12" s="76"/>
      <c r="H12" s="76"/>
      <c r="I12" s="76"/>
      <c r="J12" s="107"/>
      <c r="K12" s="64"/>
      <c r="L12" s="64"/>
      <c r="M12" s="64"/>
      <c r="N12" s="64"/>
      <c r="O12" s="64"/>
      <c r="P12" s="64"/>
      <c r="Q12" s="64"/>
      <c r="R12" s="64"/>
      <c r="S12" s="68"/>
    </row>
    <row r="13" spans="1:19" x14ac:dyDescent="0.25">
      <c r="A13" s="62" t="s">
        <v>72</v>
      </c>
      <c r="B13" s="147">
        <v>6000</v>
      </c>
      <c r="C13" s="107">
        <f>B13*'Donnees par defaut'!$B$6</f>
        <v>106.62</v>
      </c>
      <c r="D13" s="107">
        <f>$B$5*'Donnees par defaut'!$B$14*2</f>
        <v>0</v>
      </c>
      <c r="E13" s="118">
        <f>'Donnees par defaut'!$G44</f>
        <v>1040</v>
      </c>
      <c r="F13" s="94">
        <f>SUM(C13:E13)</f>
        <v>1146.6199999999999</v>
      </c>
      <c r="G13" s="76"/>
      <c r="H13" s="76"/>
      <c r="I13" s="76"/>
      <c r="J13" s="107"/>
      <c r="K13" s="64"/>
      <c r="L13" s="64"/>
      <c r="M13" s="64"/>
      <c r="N13" s="64"/>
      <c r="O13" s="64"/>
      <c r="P13" s="64"/>
      <c r="Q13" s="64"/>
      <c r="R13" s="64"/>
      <c r="S13" s="68"/>
    </row>
    <row r="14" spans="1:19" x14ac:dyDescent="0.25">
      <c r="A14" s="62" t="s">
        <v>28</v>
      </c>
      <c r="B14" s="147">
        <v>6000</v>
      </c>
      <c r="C14" s="107">
        <f>B14*'Donnees par defaut'!$B$6</f>
        <v>106.62</v>
      </c>
      <c r="D14" s="107">
        <f>$B$5*'Donnees par defaut'!$B$14*2</f>
        <v>0</v>
      </c>
      <c r="E14" s="118">
        <f>'Donnees par defaut'!$G45</f>
        <v>200</v>
      </c>
      <c r="F14" s="94">
        <f t="shared" si="0"/>
        <v>306.62</v>
      </c>
      <c r="G14" s="76"/>
      <c r="H14" s="76"/>
      <c r="I14" s="76"/>
      <c r="J14" s="107"/>
      <c r="K14" s="64"/>
      <c r="L14" s="64"/>
      <c r="M14" s="64"/>
      <c r="N14" s="64"/>
      <c r="O14" s="64"/>
      <c r="P14" s="64"/>
      <c r="Q14" s="64"/>
      <c r="R14" s="64"/>
      <c r="S14" s="68"/>
    </row>
    <row r="15" spans="1:19" x14ac:dyDescent="0.25">
      <c r="A15" s="62" t="s">
        <v>5</v>
      </c>
      <c r="B15" s="147">
        <v>6000</v>
      </c>
      <c r="C15" s="107">
        <f>B15*'Donnees par defaut'!$B$6</f>
        <v>106.62</v>
      </c>
      <c r="D15" s="107">
        <f>$B$5*'Donnees par defaut'!$B$14*2</f>
        <v>0</v>
      </c>
      <c r="E15" s="118">
        <f>'Donnees par defaut'!$G46</f>
        <v>200</v>
      </c>
      <c r="F15" s="94">
        <f t="shared" si="0"/>
        <v>306.62</v>
      </c>
      <c r="G15" s="76"/>
      <c r="H15" s="76"/>
      <c r="I15" s="76"/>
      <c r="J15" s="107"/>
      <c r="K15" s="64"/>
      <c r="L15" s="64"/>
      <c r="M15" s="64"/>
      <c r="N15" s="64"/>
      <c r="O15" s="64"/>
      <c r="P15" s="64"/>
      <c r="Q15" s="64"/>
      <c r="R15" s="64"/>
      <c r="S15" s="68"/>
    </row>
    <row r="16" spans="1:19" x14ac:dyDescent="0.25">
      <c r="A16" s="62" t="s">
        <v>4</v>
      </c>
      <c r="B16" s="147">
        <v>6000</v>
      </c>
      <c r="C16" s="107">
        <f>B16*'Donnees par defaut'!$B$6</f>
        <v>106.62</v>
      </c>
      <c r="D16" s="107">
        <f>$B$5*'Donnees par defaut'!$B$14*2</f>
        <v>0</v>
      </c>
      <c r="E16" s="118">
        <f>'Donnees par defaut'!$G47</f>
        <v>44</v>
      </c>
      <c r="F16" s="94">
        <f t="shared" si="0"/>
        <v>150.62</v>
      </c>
      <c r="G16" s="76"/>
      <c r="H16" s="76"/>
      <c r="I16" s="76"/>
      <c r="J16" s="107"/>
      <c r="K16" s="64"/>
      <c r="L16" s="64"/>
      <c r="M16" s="64"/>
      <c r="N16" s="64"/>
      <c r="O16" s="64"/>
      <c r="P16" s="64"/>
      <c r="Q16" s="64"/>
      <c r="R16" s="64"/>
      <c r="S16" s="68"/>
    </row>
    <row r="17" spans="1:19" x14ac:dyDescent="0.25">
      <c r="A17" s="62" t="s">
        <v>36</v>
      </c>
      <c r="B17" s="147">
        <v>6000</v>
      </c>
      <c r="C17" s="107">
        <f>B17*'Donnees par defaut'!$B$6</f>
        <v>106.62</v>
      </c>
      <c r="D17" s="107">
        <f>$B$5*'Donnees par defaut'!$B$14*2</f>
        <v>0</v>
      </c>
      <c r="E17" s="118">
        <f>'Donnees par defaut'!$G48</f>
        <v>170</v>
      </c>
      <c r="F17" s="94">
        <f t="shared" si="0"/>
        <v>276.62</v>
      </c>
      <c r="G17" s="76"/>
      <c r="H17" s="76"/>
      <c r="I17" s="76"/>
      <c r="J17" s="107"/>
      <c r="K17" s="64"/>
      <c r="L17" s="64"/>
      <c r="M17" s="64"/>
      <c r="N17" s="64"/>
      <c r="O17" s="64"/>
      <c r="P17" s="64"/>
      <c r="Q17" s="64"/>
      <c r="R17" s="64"/>
      <c r="S17" s="68"/>
    </row>
    <row r="18" spans="1:19" x14ac:dyDescent="0.25">
      <c r="A18" s="62" t="s">
        <v>37</v>
      </c>
      <c r="B18" s="147">
        <v>6000</v>
      </c>
      <c r="C18" s="107">
        <f>B18*'Donnees par defaut'!$B$6</f>
        <v>106.62</v>
      </c>
      <c r="D18" s="107">
        <f>$B$5*'Donnees par defaut'!$B$14*2</f>
        <v>0</v>
      </c>
      <c r="E18" s="118">
        <f>'Donnees par defaut'!$G49</f>
        <v>547</v>
      </c>
      <c r="F18" s="94">
        <f t="shared" si="0"/>
        <v>653.62</v>
      </c>
      <c r="G18" s="76"/>
      <c r="H18" s="76"/>
      <c r="I18" s="76"/>
      <c r="J18" s="107"/>
      <c r="K18" s="64"/>
      <c r="L18" s="64"/>
      <c r="M18" s="64"/>
      <c r="N18" s="64"/>
      <c r="O18" s="64"/>
      <c r="P18" s="64"/>
      <c r="Q18" s="64"/>
      <c r="R18" s="64"/>
      <c r="S18" s="68"/>
    </row>
    <row r="19" spans="1:19" x14ac:dyDescent="0.25">
      <c r="A19" s="212"/>
      <c r="B19" s="147">
        <v>6000</v>
      </c>
      <c r="C19" s="211">
        <f>B19*'Donnees par defaut'!$B$6</f>
        <v>106.62</v>
      </c>
      <c r="D19" s="211">
        <f>$B$5*'Donnees par defaut'!$B$14*2</f>
        <v>0</v>
      </c>
      <c r="E19" s="118">
        <f>'Donnees par defaut'!$G50</f>
        <v>0</v>
      </c>
      <c r="F19" s="213">
        <f>SUM(C19:E19)</f>
        <v>106.62</v>
      </c>
      <c r="G19" s="76"/>
      <c r="H19" s="76"/>
      <c r="I19" s="76"/>
      <c r="J19" s="107"/>
      <c r="K19" s="64"/>
      <c r="L19" s="64"/>
      <c r="M19" s="64"/>
      <c r="N19" s="64"/>
      <c r="O19" s="64"/>
      <c r="P19" s="64"/>
      <c r="Q19" s="64"/>
      <c r="R19" s="64"/>
      <c r="S19" s="68"/>
    </row>
    <row r="20" spans="1:19" x14ac:dyDescent="0.25">
      <c r="A20" s="212"/>
      <c r="B20" s="147">
        <v>6000</v>
      </c>
      <c r="C20" s="211">
        <f>B20*'Donnees par defaut'!$B$6</f>
        <v>106.62</v>
      </c>
      <c r="D20" s="211">
        <f>$B$5*'Donnees par defaut'!$B$14*2</f>
        <v>0</v>
      </c>
      <c r="E20" s="118">
        <f>'Donnees par defaut'!$G51</f>
        <v>0</v>
      </c>
      <c r="F20" s="213">
        <f t="shared" ref="F20:F28" si="1">SUM(C20:E20)</f>
        <v>106.62</v>
      </c>
      <c r="G20" s="76"/>
      <c r="H20" s="76"/>
      <c r="I20" s="76"/>
      <c r="J20" s="107"/>
      <c r="K20" s="64"/>
      <c r="L20" s="64"/>
      <c r="M20" s="64"/>
      <c r="N20" s="64"/>
      <c r="O20" s="64"/>
      <c r="P20" s="64"/>
      <c r="Q20" s="64"/>
      <c r="R20" s="64"/>
      <c r="S20" s="68"/>
    </row>
    <row r="21" spans="1:19" x14ac:dyDescent="0.25">
      <c r="A21" s="212"/>
      <c r="B21" s="147">
        <v>6000</v>
      </c>
      <c r="C21" s="211">
        <f>B21*'Donnees par defaut'!$B$6</f>
        <v>106.62</v>
      </c>
      <c r="D21" s="211">
        <f>$B$5*'Donnees par defaut'!$B$14*2</f>
        <v>0</v>
      </c>
      <c r="E21" s="118">
        <f>'Donnees par defaut'!$G52</f>
        <v>0</v>
      </c>
      <c r="F21" s="213">
        <f t="shared" si="1"/>
        <v>106.62</v>
      </c>
      <c r="G21" s="76"/>
      <c r="H21" s="76"/>
      <c r="I21" s="76"/>
      <c r="J21" s="107"/>
      <c r="K21" s="64"/>
      <c r="L21" s="64"/>
      <c r="M21" s="64"/>
      <c r="N21" s="64"/>
      <c r="O21" s="64"/>
      <c r="P21" s="64"/>
      <c r="Q21" s="64"/>
      <c r="R21" s="64"/>
      <c r="S21" s="68"/>
    </row>
    <row r="22" spans="1:19" x14ac:dyDescent="0.25">
      <c r="A22" s="212"/>
      <c r="B22" s="210">
        <v>6000</v>
      </c>
      <c r="C22" s="211">
        <f>B22*'Donnees par defaut'!$B$6</f>
        <v>106.62</v>
      </c>
      <c r="D22" s="211">
        <f>$B$5*'Donnees par defaut'!$B$14*2</f>
        <v>0</v>
      </c>
      <c r="E22" s="118">
        <f>'Donnees par defaut'!$G53</f>
        <v>0</v>
      </c>
      <c r="F22" s="213">
        <f t="shared" si="1"/>
        <v>106.62</v>
      </c>
      <c r="G22" s="76"/>
      <c r="H22" s="76"/>
      <c r="I22" s="76"/>
      <c r="J22" s="107"/>
      <c r="K22" s="64"/>
      <c r="L22" s="64"/>
      <c r="M22" s="64"/>
      <c r="N22" s="64"/>
      <c r="O22" s="64"/>
      <c r="P22" s="64"/>
      <c r="Q22" s="64"/>
      <c r="R22" s="64"/>
      <c r="S22" s="68"/>
    </row>
    <row r="23" spans="1:19" x14ac:dyDescent="0.25">
      <c r="A23" s="212"/>
      <c r="B23" s="210">
        <v>6000</v>
      </c>
      <c r="C23" s="211">
        <f>B23*'Donnees par defaut'!$B$6</f>
        <v>106.62</v>
      </c>
      <c r="D23" s="211">
        <f>$B$5*'Donnees par defaut'!$B$14*2</f>
        <v>0</v>
      </c>
      <c r="E23" s="118">
        <f>'Donnees par defaut'!$G54</f>
        <v>0</v>
      </c>
      <c r="F23" s="213">
        <f t="shared" si="1"/>
        <v>106.62</v>
      </c>
      <c r="G23" s="76"/>
      <c r="H23" s="76"/>
      <c r="I23" s="76"/>
      <c r="J23" s="107"/>
      <c r="K23" s="64"/>
      <c r="L23" s="64"/>
      <c r="M23" s="64"/>
      <c r="N23" s="64"/>
      <c r="O23" s="64"/>
      <c r="P23" s="64"/>
      <c r="Q23" s="64"/>
      <c r="R23" s="64"/>
      <c r="S23" s="68"/>
    </row>
    <row r="24" spans="1:19" x14ac:dyDescent="0.25">
      <c r="A24" s="212" t="str">
        <f>'5. Engrais defini par l''utilisa'!C141</f>
        <v>Défini par l'utilisateur 6</v>
      </c>
      <c r="B24" s="210">
        <v>6000</v>
      </c>
      <c r="C24" s="211">
        <f>B24*'Donnees par defaut'!$B$6</f>
        <v>106.62</v>
      </c>
      <c r="D24" s="211">
        <f>$B$5*'Donnees par defaut'!$B$14*2</f>
        <v>0</v>
      </c>
      <c r="E24" s="118">
        <f>'Donnees par defaut'!$G55</f>
        <v>212.5</v>
      </c>
      <c r="F24" s="213">
        <f t="shared" si="1"/>
        <v>319.12</v>
      </c>
      <c r="G24" s="76"/>
      <c r="H24" s="76"/>
      <c r="I24" s="76"/>
      <c r="J24" s="107"/>
      <c r="K24" s="64"/>
      <c r="L24" s="64"/>
      <c r="M24" s="64"/>
      <c r="N24" s="64"/>
      <c r="O24" s="64"/>
      <c r="P24" s="64"/>
      <c r="Q24" s="64"/>
      <c r="R24" s="64"/>
      <c r="S24" s="68"/>
    </row>
    <row r="25" spans="1:19" x14ac:dyDescent="0.25">
      <c r="A25" s="212" t="str">
        <f>'5. Engrais defini par l''utilisa'!C167</f>
        <v>Défini par l'utilisateur 7</v>
      </c>
      <c r="B25" s="210">
        <v>6000</v>
      </c>
      <c r="C25" s="211">
        <f>B25*'Donnees par defaut'!$B$6</f>
        <v>106.62</v>
      </c>
      <c r="D25" s="211">
        <f>$B$5*'Donnees par defaut'!$B$14*2</f>
        <v>0</v>
      </c>
      <c r="E25" s="118">
        <f>'Donnees par defaut'!$G56</f>
        <v>212.5</v>
      </c>
      <c r="F25" s="213">
        <f t="shared" si="1"/>
        <v>319.12</v>
      </c>
      <c r="G25" s="76"/>
      <c r="H25" s="76"/>
      <c r="I25" s="76"/>
      <c r="J25" s="107"/>
      <c r="K25" s="64"/>
      <c r="L25" s="64"/>
      <c r="M25" s="64"/>
      <c r="N25" s="64"/>
      <c r="O25" s="64"/>
      <c r="P25" s="64"/>
      <c r="Q25" s="64"/>
      <c r="R25" s="64"/>
      <c r="S25" s="68"/>
    </row>
    <row r="26" spans="1:19" x14ac:dyDescent="0.25">
      <c r="A26" s="212" t="str">
        <f>'5. Engrais defini par l''utilisa'!C193</f>
        <v>Défini par l'utilisateur  8</v>
      </c>
      <c r="B26" s="210">
        <v>6000</v>
      </c>
      <c r="C26" s="211">
        <f>B26*'Donnees par defaut'!$B$6</f>
        <v>106.62</v>
      </c>
      <c r="D26" s="211">
        <f>$B$5*'Donnees par defaut'!$B$14*2</f>
        <v>0</v>
      </c>
      <c r="E26" s="118">
        <f>'Donnees par defaut'!$G57</f>
        <v>212.5</v>
      </c>
      <c r="F26" s="213">
        <f t="shared" si="1"/>
        <v>319.12</v>
      </c>
      <c r="G26" s="76"/>
      <c r="H26" s="76"/>
      <c r="I26" s="76"/>
      <c r="J26" s="107"/>
      <c r="K26" s="64"/>
      <c r="L26" s="64"/>
      <c r="M26" s="64"/>
      <c r="N26" s="64"/>
      <c r="O26" s="64"/>
      <c r="P26" s="64"/>
      <c r="Q26" s="64"/>
      <c r="R26" s="64"/>
      <c r="S26" s="68"/>
    </row>
    <row r="27" spans="1:19" x14ac:dyDescent="0.25">
      <c r="A27" s="212" t="str">
        <f>'5. Engrais defini par l''utilisa'!C219</f>
        <v>Défini par l'utilisateur 9</v>
      </c>
      <c r="B27" s="210">
        <v>6000</v>
      </c>
      <c r="C27" s="211">
        <f>B27*'Donnees par defaut'!$B$6</f>
        <v>106.62</v>
      </c>
      <c r="D27" s="211">
        <f>$B$5*'Donnees par defaut'!$B$14*2</f>
        <v>0</v>
      </c>
      <c r="E27" s="118">
        <f>'Donnees par defaut'!$G58</f>
        <v>212.5</v>
      </c>
      <c r="F27" s="213">
        <f t="shared" si="1"/>
        <v>319.12</v>
      </c>
      <c r="G27" s="76"/>
      <c r="H27" s="76"/>
      <c r="I27" s="76"/>
      <c r="J27" s="107"/>
      <c r="K27" s="64"/>
      <c r="L27" s="64"/>
      <c r="M27" s="64"/>
      <c r="N27" s="64"/>
      <c r="O27" s="64"/>
      <c r="P27" s="64"/>
      <c r="Q27" s="64"/>
      <c r="R27" s="64"/>
      <c r="S27" s="68"/>
    </row>
    <row r="28" spans="1:19" x14ac:dyDescent="0.25">
      <c r="A28" s="212" t="str">
        <f>'5. Engrais defini par l''utilisa'!C245</f>
        <v>Défini par l'utilisateur  10</v>
      </c>
      <c r="B28" s="210">
        <v>6000</v>
      </c>
      <c r="C28" s="211">
        <f>B28*'Donnees par defaut'!$B$6</f>
        <v>106.62</v>
      </c>
      <c r="D28" s="211">
        <f>$B$5*'Donnees par defaut'!$B$14*2</f>
        <v>0</v>
      </c>
      <c r="E28" s="118">
        <f>'Donnees par defaut'!$G59</f>
        <v>212.5</v>
      </c>
      <c r="F28" s="213">
        <f t="shared" si="1"/>
        <v>319.12</v>
      </c>
      <c r="G28" s="76"/>
      <c r="H28" s="76"/>
      <c r="I28" s="76"/>
      <c r="J28" s="107"/>
      <c r="K28" s="64"/>
      <c r="L28" s="64"/>
      <c r="M28" s="64"/>
      <c r="N28" s="64"/>
      <c r="O28" s="64"/>
      <c r="P28" s="64"/>
      <c r="Q28" s="64"/>
      <c r="R28" s="64"/>
      <c r="S28" s="68"/>
    </row>
    <row r="29" spans="1:19" x14ac:dyDescent="0.25">
      <c r="A29" s="209"/>
      <c r="B29" s="233"/>
      <c r="C29" s="211"/>
      <c r="D29" s="211"/>
      <c r="E29" s="212"/>
      <c r="F29" s="213"/>
      <c r="G29" s="76"/>
      <c r="H29" s="76"/>
      <c r="I29" s="76"/>
      <c r="J29" s="107"/>
      <c r="K29" s="64"/>
      <c r="L29" s="64"/>
      <c r="M29" s="64"/>
      <c r="N29" s="64"/>
      <c r="O29" s="64"/>
      <c r="P29" s="64"/>
      <c r="Q29" s="64"/>
      <c r="R29" s="64"/>
      <c r="S29" s="68"/>
    </row>
    <row r="30" spans="1:19" x14ac:dyDescent="0.25">
      <c r="A30" s="113" t="s">
        <v>317</v>
      </c>
      <c r="B30" s="76"/>
      <c r="C30" s="76"/>
      <c r="D30" s="76"/>
      <c r="E30" s="76"/>
      <c r="F30" s="76"/>
      <c r="G30" s="76"/>
      <c r="H30" s="76"/>
      <c r="I30" s="76"/>
      <c r="J30" s="107"/>
      <c r="K30" s="64"/>
      <c r="L30" s="64"/>
      <c r="M30" s="64"/>
      <c r="N30" s="64"/>
      <c r="O30" s="64"/>
      <c r="P30" s="64"/>
      <c r="Q30" s="64"/>
      <c r="R30" s="64"/>
      <c r="S30" s="68"/>
    </row>
    <row r="31" spans="1:19" x14ac:dyDescent="0.25">
      <c r="A31" s="214"/>
      <c r="B31" s="215"/>
      <c r="C31" s="215"/>
      <c r="D31" s="215"/>
      <c r="E31" s="216"/>
      <c r="G31" s="437" t="s">
        <v>320</v>
      </c>
      <c r="H31" s="438" t="s">
        <v>321</v>
      </c>
      <c r="I31" s="438"/>
      <c r="J31" s="76"/>
    </row>
    <row r="32" spans="1:19" ht="18" x14ac:dyDescent="0.35">
      <c r="B32" s="46"/>
      <c r="C32" s="46"/>
      <c r="D32" s="46"/>
      <c r="E32" s="92"/>
      <c r="G32" s="437"/>
      <c r="H32" s="217" t="s">
        <v>68</v>
      </c>
      <c r="I32" s="218" t="s">
        <v>131</v>
      </c>
      <c r="J32" s="76"/>
    </row>
    <row r="33" spans="1:12" ht="18" x14ac:dyDescent="0.35">
      <c r="A33" s="71" t="s">
        <v>318</v>
      </c>
      <c r="B33" s="67"/>
      <c r="C33" s="67"/>
      <c r="D33" s="92" t="s">
        <v>130</v>
      </c>
      <c r="E33" s="92" t="s">
        <v>319</v>
      </c>
      <c r="G33" s="219" t="s">
        <v>323</v>
      </c>
      <c r="H33" s="219" t="s">
        <v>323</v>
      </c>
      <c r="I33" s="219" t="s">
        <v>323</v>
      </c>
      <c r="J33" s="92"/>
      <c r="K33" s="92"/>
      <c r="L33" s="92"/>
    </row>
    <row r="34" spans="1:12" x14ac:dyDescent="0.25">
      <c r="A34" s="62" t="s">
        <v>6</v>
      </c>
      <c r="B34" s="97"/>
      <c r="C34" s="97"/>
      <c r="D34" s="231">
        <v>0</v>
      </c>
      <c r="E34" s="229">
        <f>D34*'1. Emissions CAT'!C$59</f>
        <v>0</v>
      </c>
      <c r="G34" s="230">
        <f t="shared" ref="G34:G45" si="2">E34*$F9/1000</f>
        <v>0</v>
      </c>
      <c r="H34" s="230">
        <f>E34*'Donnees par defaut'!L40/1000</f>
        <v>0</v>
      </c>
      <c r="I34" s="230"/>
      <c r="J34" s="107"/>
      <c r="K34" s="64"/>
      <c r="L34" s="64"/>
    </row>
    <row r="35" spans="1:12" x14ac:dyDescent="0.25">
      <c r="A35" s="62" t="s">
        <v>2</v>
      </c>
      <c r="B35" s="97"/>
      <c r="C35" s="97"/>
      <c r="D35" s="231">
        <v>0</v>
      </c>
      <c r="E35" s="229">
        <f>D35*'1. Emissions CAT'!C$59</f>
        <v>0</v>
      </c>
      <c r="G35" s="230">
        <f t="shared" si="2"/>
        <v>0</v>
      </c>
      <c r="H35" s="230">
        <f>E35*'Donnees par defaut'!L41/1000</f>
        <v>0</v>
      </c>
      <c r="I35" s="230"/>
      <c r="J35" s="107"/>
      <c r="K35" s="64"/>
      <c r="L35" s="64"/>
    </row>
    <row r="36" spans="1:12" x14ac:dyDescent="0.25">
      <c r="A36" s="62" t="s">
        <v>7</v>
      </c>
      <c r="B36" s="97"/>
      <c r="C36" s="97"/>
      <c r="D36" s="231">
        <v>0</v>
      </c>
      <c r="E36" s="229">
        <f>D36*'1. Emissions CAT'!C$59</f>
        <v>0</v>
      </c>
      <c r="G36" s="230">
        <f t="shared" si="2"/>
        <v>0</v>
      </c>
      <c r="H36" s="230">
        <f>E36*'Donnees par defaut'!L42/1000</f>
        <v>0</v>
      </c>
      <c r="I36" s="230"/>
      <c r="J36" s="107"/>
      <c r="K36" s="64"/>
      <c r="L36" s="64"/>
    </row>
    <row r="37" spans="1:12" x14ac:dyDescent="0.25">
      <c r="A37" s="62" t="s">
        <v>3</v>
      </c>
      <c r="B37" s="97"/>
      <c r="C37" s="97"/>
      <c r="D37" s="231">
        <v>0</v>
      </c>
      <c r="E37" s="229">
        <f>D37*'1. Emissions CAT'!C$59</f>
        <v>0</v>
      </c>
      <c r="G37" s="230">
        <f t="shared" si="2"/>
        <v>0</v>
      </c>
      <c r="H37" s="230">
        <f>E37*'Donnees par defaut'!L43/1000</f>
        <v>0</v>
      </c>
      <c r="I37" s="230">
        <f>'Donnees par defaut'!B15*'6. Engrais et N2O'!E37*44/12</f>
        <v>0</v>
      </c>
      <c r="J37" s="107"/>
      <c r="K37" s="64"/>
      <c r="L37" s="64"/>
    </row>
    <row r="38" spans="1:12" x14ac:dyDescent="0.25">
      <c r="A38" s="62" t="s">
        <v>72</v>
      </c>
      <c r="B38" s="97"/>
      <c r="C38" s="97"/>
      <c r="D38" s="231">
        <v>0</v>
      </c>
      <c r="E38" s="229">
        <f>D38*'1. Emissions CAT'!C$59</f>
        <v>0</v>
      </c>
      <c r="G38" s="230">
        <f t="shared" si="2"/>
        <v>0</v>
      </c>
      <c r="H38" s="230">
        <f>E38*'Donnees par defaut'!L44/1000</f>
        <v>0</v>
      </c>
      <c r="I38" s="230"/>
      <c r="J38" s="107"/>
      <c r="K38" s="64"/>
      <c r="L38" s="64"/>
    </row>
    <row r="39" spans="1:12" x14ac:dyDescent="0.25">
      <c r="A39" s="62" t="s">
        <v>28</v>
      </c>
      <c r="B39" s="97"/>
      <c r="C39" s="97"/>
      <c r="D39" s="231">
        <v>0</v>
      </c>
      <c r="E39" s="229">
        <f>D39*'1. Emissions CAT'!C$59</f>
        <v>0</v>
      </c>
      <c r="G39" s="230">
        <f t="shared" si="2"/>
        <v>0</v>
      </c>
      <c r="H39" s="230"/>
      <c r="I39" s="230"/>
      <c r="J39" s="107"/>
      <c r="K39" s="64"/>
      <c r="L39" s="64"/>
    </row>
    <row r="40" spans="1:12" x14ac:dyDescent="0.25">
      <c r="A40" s="62" t="s">
        <v>5</v>
      </c>
      <c r="B40" s="97"/>
      <c r="C40" s="97"/>
      <c r="D40" s="231">
        <v>0</v>
      </c>
      <c r="E40" s="229">
        <f>D40*'1. Emissions CAT'!C$59</f>
        <v>0</v>
      </c>
      <c r="G40" s="230">
        <f t="shared" si="2"/>
        <v>0</v>
      </c>
      <c r="H40" s="230"/>
      <c r="I40" s="230"/>
      <c r="J40" s="107"/>
      <c r="K40" s="64"/>
      <c r="L40" s="64"/>
    </row>
    <row r="41" spans="1:12" x14ac:dyDescent="0.25">
      <c r="A41" s="62" t="s">
        <v>4</v>
      </c>
      <c r="B41" s="97"/>
      <c r="C41" s="97"/>
      <c r="D41" s="231">
        <v>0.1</v>
      </c>
      <c r="E41" s="229">
        <f>D41*'1. Emissions CAT'!C$59</f>
        <v>0</v>
      </c>
      <c r="G41" s="230">
        <f t="shared" si="2"/>
        <v>0</v>
      </c>
      <c r="H41" s="230"/>
      <c r="I41" s="230"/>
      <c r="J41" s="107"/>
      <c r="K41" s="64"/>
      <c r="L41" s="64"/>
    </row>
    <row r="42" spans="1:12" x14ac:dyDescent="0.25">
      <c r="A42" s="62" t="s">
        <v>36</v>
      </c>
      <c r="B42" s="97"/>
      <c r="C42" s="97"/>
      <c r="D42" s="231">
        <v>0</v>
      </c>
      <c r="E42" s="229">
        <f>D42*'1. Emissions CAT'!C$59</f>
        <v>0</v>
      </c>
      <c r="G42" s="230">
        <f t="shared" si="2"/>
        <v>0</v>
      </c>
      <c r="H42" s="230"/>
      <c r="I42" s="230"/>
      <c r="J42" s="107"/>
      <c r="K42" s="64"/>
      <c r="L42" s="64"/>
    </row>
    <row r="43" spans="1:12" x14ac:dyDescent="0.25">
      <c r="A43" s="62" t="s">
        <v>37</v>
      </c>
      <c r="B43" s="97"/>
      <c r="C43" s="97"/>
      <c r="D43" s="231">
        <v>0</v>
      </c>
      <c r="E43" s="229">
        <f>D43*'1. Emissions CAT'!C$59</f>
        <v>0</v>
      </c>
      <c r="G43" s="230">
        <f t="shared" si="2"/>
        <v>0</v>
      </c>
      <c r="H43" s="230"/>
      <c r="I43" s="230"/>
      <c r="J43" s="107"/>
      <c r="K43" s="64"/>
      <c r="L43" s="64"/>
    </row>
    <row r="44" spans="1:12" x14ac:dyDescent="0.25">
      <c r="A44" s="212"/>
      <c r="B44" s="220"/>
      <c r="C44" s="220"/>
      <c r="D44" s="232">
        <v>0</v>
      </c>
      <c r="E44" s="229">
        <f>D44*'1. Emissions CAT'!C$59</f>
        <v>0</v>
      </c>
      <c r="G44" s="230">
        <f t="shared" si="2"/>
        <v>0</v>
      </c>
      <c r="H44" s="230">
        <f>E44*'Donnees par defaut'!L50/1000</f>
        <v>0</v>
      </c>
      <c r="I44" s="250"/>
      <c r="J44" s="76"/>
    </row>
    <row r="45" spans="1:12" x14ac:dyDescent="0.25">
      <c r="A45" s="212"/>
      <c r="B45" s="220"/>
      <c r="C45" s="220"/>
      <c r="D45" s="232">
        <v>0</v>
      </c>
      <c r="E45" s="229">
        <f>D45*'1. Emissions CAT'!C$59</f>
        <v>0</v>
      </c>
      <c r="G45" s="230">
        <f t="shared" si="2"/>
        <v>0</v>
      </c>
      <c r="H45" s="230">
        <f>E45*'Donnees par defaut'!L51/1000</f>
        <v>0</v>
      </c>
      <c r="I45" s="230"/>
      <c r="J45" s="76"/>
    </row>
    <row r="46" spans="1:12" x14ac:dyDescent="0.25">
      <c r="A46" s="212"/>
      <c r="B46" s="220"/>
      <c r="C46" s="220"/>
      <c r="D46" s="232">
        <v>0</v>
      </c>
      <c r="E46" s="229">
        <f>D46*'1. Emissions CAT'!C$59</f>
        <v>0</v>
      </c>
      <c r="G46" s="230">
        <f t="shared" ref="G46:G52" si="3">E46*$F22/1000</f>
        <v>0</v>
      </c>
      <c r="H46" s="230">
        <f>E46*'Donnees par defaut'!L52/1000</f>
        <v>0</v>
      </c>
      <c r="I46" s="230"/>
      <c r="J46" s="76"/>
    </row>
    <row r="47" spans="1:12" x14ac:dyDescent="0.25">
      <c r="A47" s="212"/>
      <c r="B47" s="220"/>
      <c r="C47" s="220"/>
      <c r="D47" s="232">
        <v>0</v>
      </c>
      <c r="E47" s="229">
        <f>D47*'1. Emissions CAT'!C$59</f>
        <v>0</v>
      </c>
      <c r="G47" s="230">
        <f t="shared" si="3"/>
        <v>0</v>
      </c>
      <c r="H47" s="230">
        <f>E47*'Donnees par defaut'!L53/1000</f>
        <v>0</v>
      </c>
      <c r="I47" s="230"/>
      <c r="J47" s="76"/>
    </row>
    <row r="48" spans="1:12" x14ac:dyDescent="0.25">
      <c r="A48" s="212" t="str">
        <f>A24</f>
        <v>Défini par l'utilisateur 6</v>
      </c>
      <c r="B48" s="220"/>
      <c r="C48" s="220"/>
      <c r="D48" s="232">
        <v>0</v>
      </c>
      <c r="E48" s="229">
        <f>D48*'1. Emissions CAT'!C$59</f>
        <v>0</v>
      </c>
      <c r="G48" s="230">
        <f t="shared" si="3"/>
        <v>0</v>
      </c>
      <c r="H48" s="230">
        <f>E48*'Donnees par defaut'!L54/1000</f>
        <v>0</v>
      </c>
      <c r="I48" s="230"/>
      <c r="J48" s="76"/>
    </row>
    <row r="49" spans="1:15" x14ac:dyDescent="0.25">
      <c r="A49" s="212" t="str">
        <f>A25</f>
        <v>Défini par l'utilisateur 7</v>
      </c>
      <c r="B49" s="220"/>
      <c r="C49" s="220"/>
      <c r="D49" s="232">
        <v>0</v>
      </c>
      <c r="E49" s="229">
        <f>D49*'1. Emissions CAT'!C$59</f>
        <v>0</v>
      </c>
      <c r="G49" s="230">
        <f t="shared" si="3"/>
        <v>0</v>
      </c>
      <c r="H49" s="230">
        <f>E49*'Donnees par defaut'!L55/1000</f>
        <v>0</v>
      </c>
      <c r="I49" s="230"/>
      <c r="J49" s="76"/>
    </row>
    <row r="50" spans="1:15" x14ac:dyDescent="0.25">
      <c r="A50" s="212" t="str">
        <f>A26</f>
        <v>Défini par l'utilisateur  8</v>
      </c>
      <c r="B50" s="220"/>
      <c r="C50" s="220"/>
      <c r="D50" s="232">
        <v>0</v>
      </c>
      <c r="E50" s="229">
        <f>D50*'1. Emissions CAT'!C$59</f>
        <v>0</v>
      </c>
      <c r="G50" s="230">
        <f t="shared" si="3"/>
        <v>0</v>
      </c>
      <c r="H50" s="230">
        <f>E50*'Donnees par defaut'!L56/1000</f>
        <v>0</v>
      </c>
      <c r="I50" s="230"/>
      <c r="J50" s="76"/>
    </row>
    <row r="51" spans="1:15" x14ac:dyDescent="0.25">
      <c r="A51" s="212" t="str">
        <f>A27</f>
        <v>Défini par l'utilisateur 9</v>
      </c>
      <c r="B51" s="220"/>
      <c r="C51" s="220"/>
      <c r="D51" s="232">
        <v>0</v>
      </c>
      <c r="E51" s="229">
        <f>D51*'1. Emissions CAT'!C$59</f>
        <v>0</v>
      </c>
      <c r="G51" s="230">
        <f t="shared" si="3"/>
        <v>0</v>
      </c>
      <c r="H51" s="230">
        <f>E51*'Donnees par defaut'!L57/1000</f>
        <v>0</v>
      </c>
      <c r="I51" s="230"/>
      <c r="J51" s="76"/>
    </row>
    <row r="52" spans="1:15" x14ac:dyDescent="0.25">
      <c r="A52" s="212" t="str">
        <f>A28</f>
        <v>Défini par l'utilisateur  10</v>
      </c>
      <c r="B52" s="220"/>
      <c r="C52" s="220"/>
      <c r="D52" s="232">
        <v>0</v>
      </c>
      <c r="E52" s="229">
        <f>D52*'1. Emissions CAT'!C$59</f>
        <v>0</v>
      </c>
      <c r="G52" s="230">
        <f t="shared" si="3"/>
        <v>0</v>
      </c>
      <c r="H52" s="230">
        <f>E52*'Donnees par defaut'!L58/1000</f>
        <v>0</v>
      </c>
      <c r="I52" s="230"/>
      <c r="J52" s="76"/>
    </row>
    <row r="53" spans="1:15" ht="15.75" thickBot="1" x14ac:dyDescent="0.3">
      <c r="A53" s="43"/>
      <c r="B53" s="97"/>
      <c r="C53" s="97"/>
      <c r="D53" s="97"/>
      <c r="E53" s="96"/>
      <c r="F53" s="226" t="s">
        <v>1</v>
      </c>
      <c r="G53" s="227">
        <f>SUM(G34:G52)</f>
        <v>0</v>
      </c>
      <c r="H53" s="227">
        <f>SUM(H34:H52)</f>
        <v>0</v>
      </c>
      <c r="I53" s="228">
        <f>SUM(I34:I52)</f>
        <v>0</v>
      </c>
      <c r="J53" s="76"/>
    </row>
    <row r="54" spans="1:15" ht="15.75" thickTop="1" x14ac:dyDescent="0.25">
      <c r="A54" s="43"/>
      <c r="B54" s="44"/>
      <c r="C54" s="44"/>
      <c r="D54" s="44"/>
      <c r="E54" s="129"/>
      <c r="F54" s="92"/>
      <c r="G54" s="76"/>
      <c r="H54" s="76"/>
      <c r="I54" s="76"/>
      <c r="J54" s="76"/>
    </row>
    <row r="55" spans="1:15" x14ac:dyDescent="0.25">
      <c r="A55" s="89"/>
      <c r="B55" s="76"/>
      <c r="C55" s="76"/>
      <c r="D55" s="76"/>
      <c r="E55" s="76"/>
      <c r="F55" s="94"/>
      <c r="G55" s="93"/>
      <c r="H55" s="94"/>
      <c r="I55" s="93"/>
      <c r="J55" s="76"/>
      <c r="K55" s="76"/>
      <c r="L55" s="76"/>
      <c r="M55" s="76"/>
      <c r="N55" s="76"/>
      <c r="O55" s="76"/>
    </row>
    <row r="56" spans="1:15" x14ac:dyDescent="0.25">
      <c r="A56" s="113" t="s">
        <v>324</v>
      </c>
      <c r="B56" s="117"/>
      <c r="C56" s="117"/>
      <c r="D56" s="117"/>
      <c r="E56" s="117"/>
      <c r="F56" s="76"/>
      <c r="G56" s="76"/>
      <c r="H56" s="76"/>
      <c r="I56" s="76"/>
      <c r="J56" s="86"/>
      <c r="K56" s="76"/>
      <c r="L56" s="76"/>
      <c r="M56" s="76"/>
      <c r="N56" s="76"/>
      <c r="O56" s="76"/>
    </row>
    <row r="57" spans="1:15" x14ac:dyDescent="0.25">
      <c r="A57" s="76" t="s">
        <v>325</v>
      </c>
      <c r="B57" s="118"/>
      <c r="C57" s="118"/>
      <c r="D57" s="118"/>
      <c r="E57" s="118">
        <f>'9. Donnees usine'!B33</f>
        <v>0</v>
      </c>
      <c r="F57" s="76"/>
      <c r="G57" s="76"/>
      <c r="H57" s="76"/>
      <c r="I57" s="76"/>
      <c r="J57" s="86"/>
      <c r="K57" s="76"/>
      <c r="L57" s="76"/>
      <c r="M57" s="76"/>
      <c r="N57" s="76"/>
      <c r="O57" s="76"/>
    </row>
    <row r="58" spans="1:15" x14ac:dyDescent="0.25">
      <c r="A58" s="119" t="s">
        <v>236</v>
      </c>
      <c r="B58" s="118"/>
      <c r="C58" s="118"/>
      <c r="D58" s="118"/>
      <c r="E58" s="118">
        <f>'1. Emissions CAT'!C59</f>
        <v>0</v>
      </c>
      <c r="F58" s="76"/>
      <c r="G58" s="76"/>
      <c r="H58" s="76"/>
      <c r="I58" s="76"/>
      <c r="J58" s="86"/>
      <c r="K58" s="76"/>
      <c r="L58" s="76"/>
      <c r="M58" s="76"/>
      <c r="N58" s="76"/>
      <c r="O58" s="76"/>
    </row>
    <row r="59" spans="1:15" x14ac:dyDescent="0.25">
      <c r="A59" s="119" t="s">
        <v>328</v>
      </c>
      <c r="B59" s="76"/>
      <c r="C59" s="76"/>
      <c r="D59" s="76"/>
      <c r="E59" s="107" t="e">
        <f>E57/E58</f>
        <v>#DIV/0!</v>
      </c>
      <c r="F59" s="76"/>
      <c r="G59" s="76"/>
      <c r="H59" s="76"/>
      <c r="I59" s="76"/>
      <c r="J59" s="86"/>
      <c r="K59" s="76"/>
      <c r="L59" s="76"/>
      <c r="M59" s="76"/>
      <c r="N59" s="76"/>
      <c r="O59" s="76"/>
    </row>
    <row r="60" spans="1:15" x14ac:dyDescent="0.25">
      <c r="A60" s="119" t="s">
        <v>338</v>
      </c>
      <c r="B60" s="76"/>
      <c r="C60" s="76"/>
      <c r="D60" s="76"/>
      <c r="E60" s="107" t="e">
        <f>E59*1000*'Donnees par defaut'!B61/100</f>
        <v>#DIV/0!</v>
      </c>
      <c r="F60" s="76"/>
      <c r="G60" s="76"/>
      <c r="H60" s="76"/>
      <c r="I60" s="76"/>
      <c r="J60" s="86"/>
      <c r="K60" s="76"/>
      <c r="L60" s="76"/>
      <c r="M60" s="76"/>
      <c r="N60" s="76"/>
      <c r="O60" s="76"/>
    </row>
    <row r="61" spans="1:15" x14ac:dyDescent="0.25">
      <c r="A61" s="224" t="s">
        <v>326</v>
      </c>
      <c r="B61" s="76"/>
      <c r="C61" s="76"/>
      <c r="D61" s="76"/>
      <c r="E61" s="93" t="e">
        <f>E60*1.57*'Donnees par defaut'!B10</f>
        <v>#DIV/0!</v>
      </c>
      <c r="F61" s="76"/>
      <c r="G61" s="76"/>
      <c r="H61" s="76"/>
      <c r="I61" s="76"/>
      <c r="J61" s="86"/>
      <c r="K61" s="76"/>
      <c r="L61" s="76"/>
      <c r="M61" s="76"/>
      <c r="N61" s="76"/>
      <c r="O61" s="76"/>
    </row>
    <row r="62" spans="1:15" x14ac:dyDescent="0.25">
      <c r="A62" s="224" t="s">
        <v>327</v>
      </c>
      <c r="B62" s="76"/>
      <c r="C62" s="76"/>
      <c r="D62" s="76"/>
      <c r="E62" s="93" t="e">
        <f>E60*(('Donnees par defaut'!F61/100*'Donnees par defaut'!B12)+('Donnees par defaut'!B62/100*'Donnees par defaut'!B11))*1.57</f>
        <v>#DIV/0!</v>
      </c>
      <c r="F62" s="76"/>
      <c r="G62" s="76"/>
      <c r="H62" s="76"/>
      <c r="I62" s="76"/>
      <c r="J62" s="86"/>
      <c r="K62" s="76"/>
      <c r="L62" s="76"/>
      <c r="M62" s="76"/>
      <c r="N62" s="76"/>
      <c r="O62" s="76"/>
    </row>
    <row r="63" spans="1:15" ht="18" x14ac:dyDescent="0.35">
      <c r="A63" s="120" t="s">
        <v>329</v>
      </c>
      <c r="B63" s="76"/>
      <c r="C63" s="76"/>
      <c r="D63" s="76"/>
      <c r="E63" s="93" t="e">
        <f>E61+E62</f>
        <v>#DIV/0!</v>
      </c>
      <c r="F63" s="76"/>
      <c r="G63" s="76"/>
      <c r="H63" s="76"/>
      <c r="I63" s="76"/>
      <c r="J63" s="86"/>
      <c r="K63" s="76"/>
      <c r="L63" s="76"/>
      <c r="M63" s="76"/>
      <c r="N63" s="76"/>
      <c r="O63" s="76"/>
    </row>
    <row r="64" spans="1:15" ht="18" x14ac:dyDescent="0.35">
      <c r="A64" s="120" t="s">
        <v>330</v>
      </c>
      <c r="B64" s="76"/>
      <c r="C64" s="76"/>
      <c r="D64" s="76"/>
      <c r="E64" s="93" t="e">
        <f>E63*'Donnees par defaut'!B9/1000</f>
        <v>#DIV/0!</v>
      </c>
      <c r="F64" s="76"/>
      <c r="G64" s="76"/>
      <c r="H64" s="76"/>
      <c r="I64" s="76"/>
      <c r="J64" s="86"/>
      <c r="K64" s="76"/>
      <c r="L64" s="76"/>
      <c r="M64" s="76"/>
      <c r="N64" s="76"/>
      <c r="O64" s="76"/>
    </row>
    <row r="65" spans="1:10" x14ac:dyDescent="0.25">
      <c r="A65" s="76"/>
      <c r="B65" s="76"/>
      <c r="C65" s="76"/>
      <c r="D65" s="76"/>
      <c r="E65" s="76"/>
      <c r="F65" s="76"/>
      <c r="G65" s="76"/>
      <c r="H65" s="76"/>
      <c r="I65" s="83"/>
      <c r="J65" s="121"/>
    </row>
    <row r="66" spans="1:10" x14ac:dyDescent="0.25">
      <c r="A66" s="100" t="s">
        <v>331</v>
      </c>
      <c r="B66" s="76"/>
      <c r="C66" s="76"/>
      <c r="D66" s="76"/>
      <c r="E66" s="76"/>
      <c r="F66" s="76"/>
      <c r="G66" s="76"/>
      <c r="H66" s="76"/>
      <c r="I66" s="83"/>
      <c r="J66" s="122"/>
    </row>
    <row r="67" spans="1:10" x14ac:dyDescent="0.25">
      <c r="A67" s="119" t="s">
        <v>332</v>
      </c>
      <c r="B67" s="124"/>
      <c r="C67" s="124"/>
      <c r="D67" s="124"/>
      <c r="E67" s="294">
        <f>'9. Donnees usine'!B74</f>
        <v>0</v>
      </c>
      <c r="F67" s="89"/>
      <c r="G67" s="76"/>
      <c r="H67" s="76"/>
      <c r="I67" s="83"/>
      <c r="J67" s="125"/>
    </row>
    <row r="68" spans="1:10" x14ac:dyDescent="0.25">
      <c r="A68" s="119" t="s">
        <v>335</v>
      </c>
      <c r="B68" s="143"/>
      <c r="C68" s="143"/>
      <c r="D68" s="143"/>
      <c r="E68" s="124">
        <f>'9. Donnees usine'!B76</f>
        <v>0</v>
      </c>
      <c r="F68" s="76"/>
      <c r="G68" s="76"/>
      <c r="H68" s="76"/>
      <c r="I68" s="83"/>
      <c r="J68" s="125"/>
    </row>
    <row r="69" spans="1:10" x14ac:dyDescent="0.25">
      <c r="A69" s="119" t="s">
        <v>334</v>
      </c>
      <c r="B69" s="143"/>
      <c r="C69" s="143"/>
      <c r="D69" s="143"/>
      <c r="E69" s="124">
        <f>'9. Donnees usine'!B77</f>
        <v>0</v>
      </c>
      <c r="F69" s="76"/>
      <c r="G69" s="76"/>
      <c r="H69" s="76"/>
      <c r="I69" s="83"/>
      <c r="J69" s="125"/>
    </row>
    <row r="70" spans="1:10" x14ac:dyDescent="0.25">
      <c r="A70" s="119" t="s">
        <v>336</v>
      </c>
      <c r="B70" s="126"/>
      <c r="C70" s="126"/>
      <c r="D70" s="126"/>
      <c r="E70" s="126">
        <f>'1. Emissions CAT'!C59</f>
        <v>0</v>
      </c>
      <c r="F70" s="76"/>
      <c r="G70" s="76"/>
      <c r="H70" s="76"/>
      <c r="I70" s="83"/>
      <c r="J70" s="112"/>
    </row>
    <row r="71" spans="1:10" x14ac:dyDescent="0.25">
      <c r="A71" s="119" t="s">
        <v>337</v>
      </c>
      <c r="B71" s="107"/>
      <c r="C71" s="107"/>
      <c r="D71" s="107"/>
      <c r="E71" s="107" t="e">
        <f>E67*E68/100/E70</f>
        <v>#DIV/0!</v>
      </c>
      <c r="F71" s="281"/>
      <c r="G71" s="76"/>
      <c r="H71" s="76"/>
      <c r="I71" s="83"/>
      <c r="J71" s="127"/>
    </row>
    <row r="72" spans="1:10" x14ac:dyDescent="0.25">
      <c r="A72" s="119" t="s">
        <v>339</v>
      </c>
      <c r="B72" s="107"/>
      <c r="C72" s="107"/>
      <c r="D72" s="107"/>
      <c r="E72" s="107" t="e">
        <f>E71*1000*'Donnees par defaut'!B60/100</f>
        <v>#DIV/0!</v>
      </c>
      <c r="F72" s="76"/>
      <c r="G72" s="76"/>
      <c r="H72" s="76"/>
      <c r="I72" s="83"/>
      <c r="J72" s="127"/>
    </row>
    <row r="73" spans="1:10" x14ac:dyDescent="0.25">
      <c r="A73" s="123" t="s">
        <v>340</v>
      </c>
      <c r="B73" s="93"/>
      <c r="C73" s="93"/>
      <c r="D73" s="93"/>
      <c r="E73" s="93" t="e">
        <f>E72*1.57*'Donnees par defaut'!B10</f>
        <v>#DIV/0!</v>
      </c>
      <c r="F73" s="93"/>
      <c r="G73" s="76"/>
      <c r="H73" s="76"/>
      <c r="I73" s="92"/>
      <c r="J73" s="114"/>
    </row>
    <row r="74" spans="1:10" x14ac:dyDescent="0.25">
      <c r="A74" s="123" t="s">
        <v>341</v>
      </c>
      <c r="B74" s="93"/>
      <c r="C74" s="93"/>
      <c r="D74" s="93"/>
      <c r="E74" s="93" t="e">
        <f>E72*(('Donnees par defaut'!F60/100*'Donnees par defaut'!B12)+('Donnees par defaut'!B62/100*'Donnees par defaut'!B11))*1.57</f>
        <v>#DIV/0!</v>
      </c>
      <c r="F74" s="93"/>
      <c r="G74" s="76"/>
      <c r="H74" s="76"/>
      <c r="I74" s="92"/>
      <c r="J74" s="114"/>
    </row>
    <row r="75" spans="1:10" ht="18" x14ac:dyDescent="0.35">
      <c r="A75" s="120" t="s">
        <v>342</v>
      </c>
      <c r="B75" s="93"/>
      <c r="C75" s="93"/>
      <c r="D75" s="93"/>
      <c r="E75" s="93" t="e">
        <f>E74+E73</f>
        <v>#DIV/0!</v>
      </c>
      <c r="F75" s="76"/>
      <c r="G75" s="76"/>
      <c r="H75" s="76"/>
      <c r="I75" s="86"/>
      <c r="J75" s="114"/>
    </row>
    <row r="76" spans="1:10" ht="18" x14ac:dyDescent="0.35">
      <c r="A76" s="120" t="s">
        <v>343</v>
      </c>
      <c r="B76" s="93"/>
      <c r="C76" s="93"/>
      <c r="D76" s="93"/>
      <c r="E76" s="93" t="e">
        <f>E75*'Donnees par defaut'!B9/1000</f>
        <v>#DIV/0!</v>
      </c>
      <c r="F76" s="76"/>
      <c r="G76" s="76"/>
      <c r="H76" s="76"/>
      <c r="I76" s="86"/>
      <c r="J76" s="114"/>
    </row>
    <row r="77" spans="1:10" x14ac:dyDescent="0.25">
      <c r="A77" s="119" t="s">
        <v>344</v>
      </c>
      <c r="B77" s="143"/>
      <c r="C77" s="143"/>
      <c r="D77" s="143"/>
      <c r="E77" s="232"/>
      <c r="F77" s="76"/>
      <c r="G77" s="76"/>
      <c r="H77" s="76"/>
      <c r="I77" s="86"/>
      <c r="J77" s="114"/>
    </row>
    <row r="78" spans="1:10" x14ac:dyDescent="0.25">
      <c r="A78" s="119" t="s">
        <v>345</v>
      </c>
      <c r="B78" s="141"/>
      <c r="C78" s="141"/>
      <c r="D78" s="141"/>
      <c r="E78" s="93">
        <f>E77*'1. Emissions CAT'!C59</f>
        <v>0</v>
      </c>
      <c r="F78" s="76"/>
      <c r="H78" s="76"/>
      <c r="I78" s="86"/>
      <c r="J78" s="114"/>
    </row>
    <row r="79" spans="1:10" x14ac:dyDescent="0.25">
      <c r="A79" s="119" t="s">
        <v>346</v>
      </c>
      <c r="B79" s="143"/>
      <c r="C79" s="143"/>
      <c r="D79" s="143"/>
      <c r="E79" s="232"/>
      <c r="F79" s="76"/>
      <c r="G79" s="76"/>
      <c r="H79" s="76"/>
      <c r="I79" s="86"/>
      <c r="J79" s="114"/>
    </row>
    <row r="80" spans="1:10" x14ac:dyDescent="0.25">
      <c r="A80" s="119" t="s">
        <v>347</v>
      </c>
      <c r="B80" s="93"/>
      <c r="C80" s="93"/>
      <c r="D80" s="93"/>
      <c r="E80" s="93">
        <f>E77*E79/100*1000</f>
        <v>0</v>
      </c>
      <c r="F80" s="76"/>
      <c r="G80" s="76"/>
      <c r="H80" s="76"/>
      <c r="I80" s="86"/>
      <c r="J80" s="114"/>
    </row>
    <row r="81" spans="1:18" x14ac:dyDescent="0.25">
      <c r="A81" s="123" t="s">
        <v>340</v>
      </c>
      <c r="B81" s="93"/>
      <c r="C81" s="93"/>
      <c r="D81" s="93"/>
      <c r="E81" s="93">
        <f>E80*1.57*'Donnees par defaut'!B10</f>
        <v>0</v>
      </c>
      <c r="F81" s="76"/>
      <c r="G81" s="76"/>
      <c r="H81" s="76"/>
      <c r="I81" s="86"/>
      <c r="J81" s="114"/>
    </row>
    <row r="82" spans="1:18" x14ac:dyDescent="0.25">
      <c r="A82" s="123" t="s">
        <v>341</v>
      </c>
      <c r="B82" s="93"/>
      <c r="C82" s="93"/>
      <c r="D82" s="93"/>
      <c r="E82" s="93">
        <f>E80*(('Donnees par defaut'!F60/100*'Donnees par defaut'!B12)+('Donnees par defaut'!B62/100*'Donnees par defaut'!B11))*1.57</f>
        <v>0</v>
      </c>
      <c r="F82" s="76"/>
      <c r="G82" s="76"/>
      <c r="H82" s="76"/>
      <c r="I82" s="86"/>
      <c r="J82" s="114"/>
    </row>
    <row r="83" spans="1:18" ht="18" x14ac:dyDescent="0.35">
      <c r="A83" s="120" t="s">
        <v>348</v>
      </c>
      <c r="B83" s="93"/>
      <c r="C83" s="93"/>
      <c r="D83" s="93"/>
      <c r="E83" s="93">
        <f>E82+E81</f>
        <v>0</v>
      </c>
      <c r="F83" s="76"/>
      <c r="G83" s="76"/>
      <c r="H83" s="76"/>
      <c r="I83" s="86"/>
      <c r="J83" s="114"/>
    </row>
    <row r="84" spans="1:18" ht="18" x14ac:dyDescent="0.35">
      <c r="A84" s="120" t="s">
        <v>349</v>
      </c>
      <c r="B84" s="93"/>
      <c r="C84" s="93"/>
      <c r="D84" s="93"/>
      <c r="E84" s="93">
        <f>E83*'Donnees par defaut'!B9/1000</f>
        <v>0</v>
      </c>
      <c r="F84" s="76"/>
      <c r="G84" s="76"/>
      <c r="H84" s="76"/>
      <c r="I84" s="86"/>
      <c r="J84" s="114"/>
    </row>
    <row r="85" spans="1:18" ht="33.75" customHeight="1" x14ac:dyDescent="0.25">
      <c r="A85" s="181" t="s">
        <v>350</v>
      </c>
      <c r="B85" s="93"/>
      <c r="C85" s="93"/>
      <c r="D85" s="93"/>
      <c r="E85" s="93" t="e">
        <f>E76+E84</f>
        <v>#DIV/0!</v>
      </c>
      <c r="F85" s="76"/>
      <c r="G85" s="76"/>
      <c r="H85" s="76"/>
      <c r="I85" s="86"/>
      <c r="J85" s="114"/>
    </row>
    <row r="86" spans="1:18" x14ac:dyDescent="0.25">
      <c r="A86" s="76"/>
      <c r="B86" s="76"/>
      <c r="C86" s="76"/>
      <c r="D86" s="76"/>
      <c r="E86" s="76"/>
      <c r="F86" s="76"/>
      <c r="G86" s="76"/>
      <c r="H86" s="76"/>
      <c r="I86" s="76"/>
      <c r="J86" s="76"/>
    </row>
    <row r="87" spans="1:18" x14ac:dyDescent="0.25">
      <c r="A87" s="100" t="s">
        <v>351</v>
      </c>
      <c r="B87" s="76"/>
      <c r="C87" s="76"/>
      <c r="D87" s="76"/>
      <c r="E87" s="76"/>
      <c r="F87" s="76"/>
      <c r="G87" s="76"/>
      <c r="H87" s="76"/>
      <c r="I87" s="76"/>
      <c r="J87" s="76"/>
    </row>
    <row r="88" spans="1:18" ht="18" x14ac:dyDescent="0.35">
      <c r="A88" s="115" t="s">
        <v>352</v>
      </c>
      <c r="B88" s="106"/>
      <c r="C88" s="106"/>
      <c r="D88" s="106"/>
      <c r="E88" s="106">
        <f>H53</f>
        <v>0</v>
      </c>
      <c r="F88" s="114"/>
      <c r="G88" s="114"/>
      <c r="H88" s="114"/>
      <c r="I88" s="114"/>
      <c r="J88" s="114"/>
      <c r="K88" s="85"/>
      <c r="L88" s="85"/>
      <c r="M88" s="85"/>
      <c r="N88" s="85"/>
      <c r="O88" s="85"/>
      <c r="P88" s="85"/>
      <c r="Q88" s="85"/>
      <c r="R88" s="85"/>
    </row>
    <row r="89" spans="1:18" ht="18" x14ac:dyDescent="0.35">
      <c r="A89" s="115" t="s">
        <v>353</v>
      </c>
      <c r="B89" s="106"/>
      <c r="C89" s="106"/>
      <c r="D89" s="106"/>
      <c r="E89" s="93" t="e">
        <f>E85*'1. Emissions CAT'!C59</f>
        <v>#DIV/0!</v>
      </c>
      <c r="F89" s="114"/>
      <c r="G89" s="114"/>
      <c r="H89" s="114"/>
      <c r="I89" s="114"/>
      <c r="J89" s="114"/>
      <c r="K89" s="85"/>
      <c r="L89" s="85"/>
      <c r="M89" s="85"/>
      <c r="N89" s="85"/>
      <c r="O89" s="85"/>
      <c r="P89" s="85"/>
      <c r="Q89" s="85"/>
      <c r="R89" s="85"/>
    </row>
    <row r="90" spans="1:18" ht="18" x14ac:dyDescent="0.35">
      <c r="A90" s="115" t="s">
        <v>354</v>
      </c>
      <c r="B90" s="93"/>
      <c r="C90" s="93"/>
      <c r="D90" s="93"/>
      <c r="E90" s="189" t="e">
        <f>E64*'1. Emissions CAT'!C59</f>
        <v>#DIV/0!</v>
      </c>
      <c r="F90" s="114"/>
      <c r="G90" s="114"/>
      <c r="H90" s="114"/>
      <c r="I90" s="114"/>
      <c r="J90" s="114"/>
      <c r="K90" s="85"/>
      <c r="L90" s="85"/>
      <c r="M90" s="85"/>
      <c r="N90" s="85"/>
      <c r="O90" s="85"/>
      <c r="P90" s="85"/>
      <c r="Q90" s="85"/>
      <c r="R90" s="85"/>
    </row>
    <row r="91" spans="1:18" ht="18" x14ac:dyDescent="0.35">
      <c r="A91" s="115" t="s">
        <v>355</v>
      </c>
      <c r="B91" s="106"/>
      <c r="C91" s="106"/>
      <c r="D91" s="106"/>
      <c r="E91" s="93" t="e">
        <f>SUM(E88:E90)</f>
        <v>#DIV/0!</v>
      </c>
      <c r="F91" s="114"/>
      <c r="G91" s="114"/>
      <c r="H91" s="114"/>
      <c r="I91" s="114"/>
      <c r="J91" s="114"/>
      <c r="K91" s="85"/>
      <c r="L91" s="85"/>
      <c r="M91" s="85"/>
      <c r="N91" s="85"/>
      <c r="O91" s="85"/>
      <c r="P91" s="85"/>
      <c r="Q91" s="85"/>
      <c r="R91" s="85"/>
    </row>
    <row r="92" spans="1:18" ht="18" x14ac:dyDescent="0.35">
      <c r="A92" s="225" t="s">
        <v>356</v>
      </c>
      <c r="B92" s="93"/>
      <c r="C92" s="93"/>
      <c r="D92" s="93"/>
      <c r="E92" s="93">
        <f>'1. Emissions CAT'!B56*'Donnees par defaut'!B13*1.57*'Donnees par defaut'!B9/1000</f>
        <v>0</v>
      </c>
      <c r="F92" s="114"/>
      <c r="G92" s="114"/>
      <c r="H92" s="114"/>
      <c r="I92" s="114"/>
      <c r="J92" s="114"/>
      <c r="K92" s="85"/>
      <c r="L92" s="85"/>
      <c r="M92" s="85"/>
      <c r="N92" s="85"/>
      <c r="O92" s="85"/>
      <c r="P92" s="85"/>
      <c r="Q92" s="85"/>
      <c r="R92" s="85"/>
    </row>
    <row r="93" spans="1:18" ht="18" x14ac:dyDescent="0.35">
      <c r="A93" s="115" t="s">
        <v>357</v>
      </c>
      <c r="B93" s="106"/>
      <c r="C93" s="106"/>
      <c r="D93" s="106"/>
      <c r="E93" s="94">
        <f>('1. Emissions CAT'!C59)+E92</f>
        <v>0</v>
      </c>
      <c r="F93" s="114"/>
      <c r="G93" s="114"/>
      <c r="H93" s="114"/>
      <c r="I93" s="114"/>
      <c r="J93" s="114"/>
      <c r="K93" s="85"/>
      <c r="L93" s="85"/>
      <c r="M93" s="85"/>
      <c r="N93" s="85"/>
      <c r="O93" s="85"/>
      <c r="P93" s="85"/>
      <c r="Q93" s="85"/>
      <c r="R93" s="85"/>
    </row>
    <row r="94" spans="1:18" x14ac:dyDescent="0.25">
      <c r="A94" s="115"/>
      <c r="B94" s="114"/>
      <c r="C94" s="114"/>
      <c r="D94" s="114"/>
      <c r="E94" s="114"/>
      <c r="F94" s="114"/>
      <c r="G94" s="114"/>
      <c r="H94" s="114"/>
      <c r="I94" s="114"/>
      <c r="J94" s="114"/>
      <c r="K94" s="85"/>
      <c r="L94" s="85"/>
      <c r="M94" s="85"/>
      <c r="N94" s="85"/>
      <c r="O94" s="85"/>
      <c r="P94" s="85"/>
      <c r="Q94" s="85"/>
      <c r="R94" s="85"/>
    </row>
    <row r="95" spans="1:18" hidden="1" x14ac:dyDescent="0.25">
      <c r="A95" s="169" t="s">
        <v>29</v>
      </c>
      <c r="B95" s="160"/>
      <c r="C95" s="160"/>
      <c r="D95" s="160"/>
      <c r="E95" s="160" t="e">
        <f>#REF!</f>
        <v>#REF!</v>
      </c>
      <c r="F95" s="114"/>
      <c r="G95" s="114"/>
      <c r="H95" s="114"/>
      <c r="I95" s="114"/>
      <c r="J95" s="114"/>
      <c r="K95" s="85"/>
      <c r="L95" s="85"/>
      <c r="M95" s="85"/>
      <c r="N95" s="85"/>
      <c r="O95" s="85"/>
      <c r="P95" s="85"/>
      <c r="Q95" s="85"/>
      <c r="R95" s="85"/>
    </row>
    <row r="96" spans="1:18" ht="18" hidden="1" x14ac:dyDescent="0.35">
      <c r="A96" s="162" t="s">
        <v>41</v>
      </c>
      <c r="B96" s="150"/>
      <c r="C96" s="150"/>
      <c r="D96" s="150"/>
      <c r="E96" s="170" t="e">
        <f>#REF!</f>
        <v>#REF!</v>
      </c>
      <c r="F96" s="114"/>
      <c r="G96" s="114"/>
      <c r="H96" s="114"/>
      <c r="I96" s="114"/>
      <c r="J96" s="114"/>
      <c r="K96" s="85"/>
      <c r="L96" s="85"/>
      <c r="M96" s="85"/>
      <c r="N96" s="85"/>
      <c r="O96" s="85"/>
      <c r="P96" s="85"/>
      <c r="Q96" s="85"/>
      <c r="R96" s="85"/>
    </row>
    <row r="97" spans="1:18" ht="18" hidden="1" x14ac:dyDescent="0.35">
      <c r="A97" s="162" t="s">
        <v>42</v>
      </c>
      <c r="B97" s="171"/>
      <c r="C97" s="171"/>
      <c r="D97" s="171"/>
      <c r="E97" s="171">
        <v>0</v>
      </c>
      <c r="F97" s="114"/>
      <c r="G97" s="114"/>
      <c r="H97" s="114"/>
      <c r="I97" s="114"/>
      <c r="J97" s="114"/>
      <c r="K97" s="85"/>
      <c r="L97" s="85"/>
      <c r="M97" s="85"/>
      <c r="N97" s="85"/>
      <c r="O97" s="85"/>
      <c r="P97" s="85"/>
      <c r="Q97" s="85"/>
      <c r="R97" s="85"/>
    </row>
    <row r="98" spans="1:18" ht="18" hidden="1" x14ac:dyDescent="0.35">
      <c r="A98" s="162" t="s">
        <v>43</v>
      </c>
      <c r="B98" s="171"/>
      <c r="C98" s="171"/>
      <c r="D98" s="171"/>
      <c r="E98" s="171">
        <v>0</v>
      </c>
      <c r="F98" s="114"/>
      <c r="G98" s="114"/>
      <c r="H98" s="114"/>
      <c r="I98" s="114"/>
      <c r="J98" s="114"/>
      <c r="K98" s="85"/>
      <c r="L98" s="85"/>
      <c r="M98" s="85"/>
      <c r="N98" s="85"/>
      <c r="O98" s="85"/>
      <c r="P98" s="85"/>
      <c r="Q98" s="85"/>
      <c r="R98" s="85"/>
    </row>
    <row r="99" spans="1:18" ht="18" hidden="1" x14ac:dyDescent="0.35">
      <c r="A99" s="162" t="s">
        <v>44</v>
      </c>
      <c r="B99" s="150"/>
      <c r="C99" s="150"/>
      <c r="D99" s="150"/>
      <c r="E99" s="150" t="e">
        <f>SUM(E96:E98)</f>
        <v>#REF!</v>
      </c>
      <c r="F99" s="114"/>
      <c r="G99" s="114"/>
      <c r="H99" s="114"/>
      <c r="I99" s="114"/>
      <c r="J99" s="114"/>
      <c r="K99" s="85"/>
      <c r="L99" s="85"/>
      <c r="M99" s="85"/>
      <c r="N99" s="85"/>
      <c r="O99" s="85"/>
      <c r="P99" s="85"/>
      <c r="Q99" s="85"/>
      <c r="R99" s="85"/>
    </row>
    <row r="100" spans="1:18" ht="18" hidden="1" x14ac:dyDescent="0.35">
      <c r="A100" s="162" t="s">
        <v>81</v>
      </c>
      <c r="B100" s="163"/>
      <c r="C100" s="163"/>
      <c r="D100" s="163"/>
      <c r="E100" s="166" t="e">
        <f>E99*#REF!</f>
        <v>#REF!</v>
      </c>
      <c r="F100" s="85"/>
      <c r="G100" s="85"/>
      <c r="H100" s="85"/>
      <c r="I100" s="85"/>
      <c r="J100" s="85"/>
      <c r="K100" s="85"/>
      <c r="L100" s="85"/>
      <c r="M100" s="85"/>
      <c r="N100" s="85"/>
      <c r="O100" s="85"/>
      <c r="P100" s="85"/>
      <c r="Q100" s="85"/>
      <c r="R100" s="85"/>
    </row>
    <row r="101" spans="1:18" x14ac:dyDescent="0.25">
      <c r="A101" s="471" t="s">
        <v>521</v>
      </c>
      <c r="B101" s="85"/>
    </row>
    <row r="102" spans="1:18" x14ac:dyDescent="0.25">
      <c r="B102" s="85"/>
    </row>
    <row r="103" spans="1:18" x14ac:dyDescent="0.25">
      <c r="B103" s="85"/>
    </row>
    <row r="104" spans="1:18" x14ac:dyDescent="0.25">
      <c r="B104" s="85"/>
    </row>
  </sheetData>
  <sheetProtection formatCells="0" formatColumns="0" formatRows="0" insertColumns="0" insertRows="0"/>
  <customSheetViews>
    <customSheetView guid="{E65377FD-65C5-4E48-ADBC-1C49981F2400}" topLeftCell="A19">
      <selection activeCell="C306" sqref="C306"/>
      <pageMargins left="0.7" right="0.7" top="0.75" bottom="0.75" header="0.3" footer="0.3"/>
      <pageSetup orientation="portrait" r:id="rId1"/>
    </customSheetView>
  </customSheetViews>
  <mergeCells count="4">
    <mergeCell ref="B7:C7"/>
    <mergeCell ref="A3:J3"/>
    <mergeCell ref="G31:G32"/>
    <mergeCell ref="H31:I31"/>
  </mergeCells>
  <pageMargins left="0.7" right="0.7" top="0.75" bottom="0.75" header="0.3" footer="0.3"/>
  <pageSetup orientation="portrait"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K10"/>
  <sheetViews>
    <sheetView showGridLines="0" topLeftCell="A4" workbookViewId="0">
      <selection activeCell="A10" sqref="A10"/>
    </sheetView>
  </sheetViews>
  <sheetFormatPr defaultColWidth="9.140625" defaultRowHeight="15" x14ac:dyDescent="0.25"/>
  <cols>
    <col min="1" max="1" width="9.140625" style="66"/>
    <col min="2" max="2" width="30" style="66" customWidth="1"/>
    <col min="3" max="3" width="13.28515625" style="66" customWidth="1"/>
    <col min="4" max="4" width="18" style="66" customWidth="1"/>
    <col min="5" max="5" width="16.42578125" style="66" customWidth="1"/>
    <col min="6" max="11" width="18.42578125" style="66" customWidth="1"/>
    <col min="12" max="16384" width="9.140625" style="66"/>
  </cols>
  <sheetData>
    <row r="1" spans="1:11" x14ac:dyDescent="0.25">
      <c r="A1" s="77" t="s">
        <v>364</v>
      </c>
    </row>
    <row r="2" spans="1:11" ht="12.75" customHeight="1" x14ac:dyDescent="0.25"/>
    <row r="3" spans="1:11" ht="91.5" customHeight="1" x14ac:dyDescent="0.25">
      <c r="A3" s="440" t="s">
        <v>358</v>
      </c>
      <c r="B3" s="441"/>
      <c r="C3" s="441"/>
      <c r="D3" s="441"/>
      <c r="E3" s="441"/>
      <c r="F3" s="441"/>
      <c r="G3" s="441"/>
      <c r="H3" s="442"/>
      <c r="I3" s="442"/>
      <c r="J3" s="442"/>
      <c r="K3" s="443"/>
    </row>
    <row r="4" spans="1:11" ht="15.75" thickBot="1" x14ac:dyDescent="0.3"/>
    <row r="5" spans="1:11" ht="41.25" customHeight="1" thickTop="1" x14ac:dyDescent="0.25">
      <c r="A5" s="439" t="s">
        <v>360</v>
      </c>
      <c r="B5" s="439"/>
      <c r="C5" s="395"/>
      <c r="F5" s="444" t="s">
        <v>359</v>
      </c>
      <c r="G5" s="445"/>
      <c r="H5" s="445"/>
      <c r="I5" s="445"/>
      <c r="J5" s="445"/>
      <c r="K5" s="446"/>
    </row>
    <row r="6" spans="1:11" ht="42" customHeight="1" x14ac:dyDescent="0.25">
      <c r="A6" s="439" t="s">
        <v>361</v>
      </c>
      <c r="B6" s="439"/>
      <c r="C6" s="395"/>
      <c r="F6" s="447"/>
      <c r="G6" s="448"/>
      <c r="H6" s="448"/>
      <c r="I6" s="448"/>
      <c r="J6" s="448"/>
      <c r="K6" s="449"/>
    </row>
    <row r="7" spans="1:11" ht="58.5" customHeight="1" x14ac:dyDescent="0.25">
      <c r="A7" s="439" t="s">
        <v>362</v>
      </c>
      <c r="B7" s="439"/>
      <c r="C7" s="105" t="e">
        <f>C5*C6/'1. Emissions CAT'!C59</f>
        <v>#DIV/0!</v>
      </c>
      <c r="F7" s="447"/>
      <c r="G7" s="448"/>
      <c r="H7" s="448"/>
      <c r="I7" s="448"/>
      <c r="J7" s="448"/>
      <c r="K7" s="449"/>
    </row>
    <row r="8" spans="1:11" ht="56.25" customHeight="1" thickBot="1" x14ac:dyDescent="0.4">
      <c r="A8" s="439" t="s">
        <v>363</v>
      </c>
      <c r="B8" s="439"/>
      <c r="C8" s="105">
        <f>C5*C6</f>
        <v>0</v>
      </c>
      <c r="F8" s="450"/>
      <c r="G8" s="451"/>
      <c r="H8" s="451"/>
      <c r="I8" s="451"/>
      <c r="J8" s="451"/>
      <c r="K8" s="452"/>
    </row>
    <row r="9" spans="1:11" ht="15.75" thickTop="1" x14ac:dyDescent="0.25"/>
    <row r="10" spans="1:11" x14ac:dyDescent="0.25">
      <c r="A10" s="471" t="s">
        <v>521</v>
      </c>
    </row>
  </sheetData>
  <sheetProtection formatCells="0" formatColumns="0" formatRows="0" insertColumns="0" insertRows="0"/>
  <customSheetViews>
    <customSheetView guid="{E65377FD-65C5-4E48-ADBC-1C49981F2400}">
      <selection activeCell="M5" sqref="M5"/>
      <pageMargins left="0.7" right="0.7" top="0.75" bottom="0.75" header="0.3" footer="0.3"/>
      <pageSetup paperSize="9" orientation="portrait" r:id="rId1"/>
    </customSheetView>
  </customSheetViews>
  <mergeCells count="6">
    <mergeCell ref="A5:B5"/>
    <mergeCell ref="A6:B6"/>
    <mergeCell ref="A7:B7"/>
    <mergeCell ref="A8:B8"/>
    <mergeCell ref="A3:K3"/>
    <mergeCell ref="F5:K8"/>
  </mergeCell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Q33"/>
  <sheetViews>
    <sheetView showGridLines="0" topLeftCell="A13" zoomScale="90" zoomScaleNormal="90" zoomScalePageLayoutView="90" workbookViewId="0">
      <selection activeCell="A33" sqref="A33"/>
    </sheetView>
  </sheetViews>
  <sheetFormatPr defaultColWidth="8.85546875" defaultRowHeight="15" x14ac:dyDescent="0.25"/>
  <cols>
    <col min="1" max="1" width="10" customWidth="1"/>
    <col min="2" max="2" width="9.85546875" customWidth="1"/>
    <col min="3" max="3" width="11.28515625" customWidth="1"/>
    <col min="4" max="5" width="9.85546875" customWidth="1"/>
    <col min="6" max="6" width="10.7109375" customWidth="1"/>
    <col min="7" max="7" width="16.42578125" customWidth="1"/>
    <col min="8" max="8" width="13.140625" customWidth="1"/>
    <col min="9" max="9" width="4.42578125" customWidth="1"/>
    <col min="10" max="10" width="10" customWidth="1"/>
    <col min="11" max="14" width="9.85546875" customWidth="1"/>
    <col min="15" max="15" width="10.7109375" customWidth="1"/>
    <col min="16" max="16" width="16.42578125" customWidth="1"/>
    <col min="17" max="17" width="13.140625" customWidth="1"/>
  </cols>
  <sheetData>
    <row r="2" spans="1:17" ht="59.25" customHeight="1" x14ac:dyDescent="0.25">
      <c r="A2" s="453" t="s">
        <v>367</v>
      </c>
      <c r="B2" s="422"/>
      <c r="C2" s="422"/>
      <c r="D2" s="422"/>
      <c r="E2" s="422"/>
      <c r="F2" s="422"/>
      <c r="G2" s="422"/>
      <c r="H2" s="422"/>
      <c r="I2" s="422"/>
      <c r="J2" s="422"/>
      <c r="K2" s="422"/>
      <c r="L2" s="422"/>
      <c r="M2" s="422"/>
      <c r="N2" s="422"/>
      <c r="O2" s="422"/>
      <c r="P2" s="422"/>
      <c r="Q2" s="422"/>
    </row>
    <row r="4" spans="1:17" x14ac:dyDescent="0.25">
      <c r="A4" s="7" t="s">
        <v>368</v>
      </c>
      <c r="I4" s="363"/>
      <c r="J4" s="7" t="s">
        <v>376</v>
      </c>
    </row>
    <row r="5" spans="1:17" ht="60" x14ac:dyDescent="0.25">
      <c r="A5" s="191"/>
      <c r="B5" s="364" t="s">
        <v>370</v>
      </c>
      <c r="C5" s="364" t="s">
        <v>371</v>
      </c>
      <c r="D5" s="364" t="s">
        <v>372</v>
      </c>
      <c r="E5" s="364" t="s">
        <v>373</v>
      </c>
      <c r="F5" s="364" t="s">
        <v>377</v>
      </c>
      <c r="G5" s="365" t="s">
        <v>375</v>
      </c>
      <c r="H5" s="365" t="s">
        <v>374</v>
      </c>
      <c r="I5" s="363"/>
      <c r="J5" s="191"/>
      <c r="K5" s="364" t="s">
        <v>370</v>
      </c>
      <c r="L5" s="364" t="s">
        <v>371</v>
      </c>
      <c r="M5" s="364" t="s">
        <v>372</v>
      </c>
      <c r="N5" s="364" t="s">
        <v>373</v>
      </c>
      <c r="O5" s="364" t="s">
        <v>377</v>
      </c>
      <c r="P5" s="365" t="s">
        <v>375</v>
      </c>
      <c r="Q5" s="365" t="s">
        <v>374</v>
      </c>
    </row>
    <row r="6" spans="1:17" ht="45" x14ac:dyDescent="0.25">
      <c r="A6" s="364" t="s">
        <v>369</v>
      </c>
      <c r="B6" s="191"/>
      <c r="C6" s="191"/>
      <c r="D6" s="191"/>
      <c r="E6" s="191"/>
      <c r="F6" s="191"/>
      <c r="G6" s="191"/>
      <c r="H6" s="191"/>
      <c r="I6" s="363"/>
      <c r="J6" s="364" t="s">
        <v>369</v>
      </c>
      <c r="K6" s="191"/>
      <c r="L6" s="191"/>
      <c r="M6" s="191"/>
      <c r="N6" s="191"/>
      <c r="O6" s="191"/>
      <c r="P6" s="191"/>
      <c r="Q6" s="191"/>
    </row>
    <row r="7" spans="1:17" x14ac:dyDescent="0.25">
      <c r="A7" s="366">
        <v>1</v>
      </c>
      <c r="B7" s="367">
        <v>4.8344399999999998</v>
      </c>
      <c r="C7" s="367">
        <v>11.12</v>
      </c>
      <c r="D7" s="367">
        <v>0</v>
      </c>
      <c r="E7" s="367">
        <v>0</v>
      </c>
      <c r="F7" s="367">
        <v>15.95</v>
      </c>
      <c r="G7" s="368">
        <f>F31/25</f>
        <v>5.1063999999999998</v>
      </c>
      <c r="H7" s="368">
        <f>G7*0.5*44/12</f>
        <v>9.3617333333333335</v>
      </c>
      <c r="I7" s="363"/>
      <c r="J7" s="366">
        <v>1</v>
      </c>
      <c r="K7" s="367">
        <v>4.46</v>
      </c>
      <c r="L7" s="367">
        <v>10.57</v>
      </c>
      <c r="M7" s="367">
        <v>0</v>
      </c>
      <c r="N7" s="367">
        <v>0</v>
      </c>
      <c r="O7" s="367">
        <v>15.03</v>
      </c>
      <c r="P7" s="368">
        <f>O31/25</f>
        <v>4.7427999999999999</v>
      </c>
      <c r="Q7" s="368">
        <f>P7*0.5*44/12</f>
        <v>8.6951333333333327</v>
      </c>
    </row>
    <row r="8" spans="1:17" x14ac:dyDescent="0.25">
      <c r="A8" s="366">
        <v>2</v>
      </c>
      <c r="B8" s="367">
        <v>9.4600000000000009</v>
      </c>
      <c r="C8" s="367">
        <v>9.6199999999999992</v>
      </c>
      <c r="D8" s="367">
        <v>0</v>
      </c>
      <c r="E8" s="367">
        <v>0.02</v>
      </c>
      <c r="F8" s="367">
        <v>19.100000000000001</v>
      </c>
      <c r="G8" s="368">
        <f>F31/25</f>
        <v>5.1063999999999998</v>
      </c>
      <c r="H8" s="368">
        <f>G8*0.5*44/12</f>
        <v>9.3617333333333335</v>
      </c>
      <c r="I8" s="363"/>
      <c r="J8" s="366">
        <v>2</v>
      </c>
      <c r="K8" s="367">
        <v>8.2799999999999994</v>
      </c>
      <c r="L8" s="367">
        <v>10.87</v>
      </c>
      <c r="M8" s="367">
        <v>0</v>
      </c>
      <c r="N8" s="367">
        <v>0.02</v>
      </c>
      <c r="O8" s="367">
        <v>19.170000000000002</v>
      </c>
      <c r="P8" s="368">
        <f>O31/25</f>
        <v>4.7427999999999999</v>
      </c>
      <c r="Q8" s="368">
        <f>P8*0.5*44/12</f>
        <v>8.6951333333333327</v>
      </c>
    </row>
    <row r="9" spans="1:17" x14ac:dyDescent="0.25">
      <c r="A9" s="366">
        <v>3</v>
      </c>
      <c r="B9" s="367">
        <v>15.99</v>
      </c>
      <c r="C9" s="367">
        <v>7.6</v>
      </c>
      <c r="D9" s="367">
        <v>4.08</v>
      </c>
      <c r="E9" s="367">
        <v>0.04</v>
      </c>
      <c r="F9" s="367">
        <v>27.71</v>
      </c>
      <c r="G9" s="368">
        <f>F31/25</f>
        <v>5.1063999999999998</v>
      </c>
      <c r="H9" s="368">
        <f t="shared" ref="H9:H31" si="0">G9*0.5*44/12</f>
        <v>9.3617333333333335</v>
      </c>
      <c r="I9" s="363"/>
      <c r="J9" s="366">
        <v>3</v>
      </c>
      <c r="K9" s="367">
        <v>13.8</v>
      </c>
      <c r="L9" s="367">
        <v>9.69</v>
      </c>
      <c r="M9" s="367">
        <v>2.98</v>
      </c>
      <c r="N9" s="367">
        <v>0.05</v>
      </c>
      <c r="O9" s="367">
        <v>26.52</v>
      </c>
      <c r="P9" s="368">
        <f>O31/25</f>
        <v>4.7427999999999999</v>
      </c>
      <c r="Q9" s="368">
        <f t="shared" ref="Q9:Q31" si="1">P9*0.5*44/12</f>
        <v>8.6951333333333327</v>
      </c>
    </row>
    <row r="10" spans="1:17" x14ac:dyDescent="0.25">
      <c r="A10" s="366">
        <v>4</v>
      </c>
      <c r="B10" s="367">
        <v>22.7</v>
      </c>
      <c r="C10" s="367">
        <v>6.16</v>
      </c>
      <c r="D10" s="367">
        <v>5.57</v>
      </c>
      <c r="E10" s="367">
        <v>7.0000000000000007E-2</v>
      </c>
      <c r="F10" s="367">
        <v>34.5</v>
      </c>
      <c r="G10" s="368">
        <f>F31/25</f>
        <v>5.1063999999999998</v>
      </c>
      <c r="H10" s="368">
        <f t="shared" si="0"/>
        <v>9.3617333333333335</v>
      </c>
      <c r="I10" s="363"/>
      <c r="J10" s="366">
        <v>4</v>
      </c>
      <c r="K10" s="367">
        <v>19.72</v>
      </c>
      <c r="L10" s="367">
        <v>8.5</v>
      </c>
      <c r="M10" s="367">
        <v>4.04</v>
      </c>
      <c r="N10" s="367">
        <v>0.08</v>
      </c>
      <c r="O10" s="367">
        <v>32.340000000000003</v>
      </c>
      <c r="P10" s="368">
        <f>O31/25</f>
        <v>4.7427999999999999</v>
      </c>
      <c r="Q10" s="368">
        <f t="shared" si="1"/>
        <v>8.6951333333333327</v>
      </c>
    </row>
    <row r="11" spans="1:17" x14ac:dyDescent="0.25">
      <c r="A11" s="366">
        <v>5</v>
      </c>
      <c r="B11" s="367">
        <v>29.05</v>
      </c>
      <c r="C11" s="367">
        <v>5.27</v>
      </c>
      <c r="D11" s="367">
        <v>6.07</v>
      </c>
      <c r="E11" s="367">
        <v>0.1</v>
      </c>
      <c r="F11" s="367">
        <v>40.49</v>
      </c>
      <c r="G11" s="368">
        <f>F31/25</f>
        <v>5.1063999999999998</v>
      </c>
      <c r="H11" s="368">
        <f t="shared" si="0"/>
        <v>9.3617333333333335</v>
      </c>
      <c r="I11" s="363"/>
      <c r="J11" s="366">
        <v>5</v>
      </c>
      <c r="K11" s="367">
        <v>25.48</v>
      </c>
      <c r="L11" s="367">
        <v>7.57</v>
      </c>
      <c r="M11" s="367">
        <v>4.38</v>
      </c>
      <c r="N11" s="367">
        <v>0.11</v>
      </c>
      <c r="O11" s="367">
        <v>37.54</v>
      </c>
      <c r="P11" s="368">
        <f>O31/25</f>
        <v>4.7427999999999999</v>
      </c>
      <c r="Q11" s="368">
        <f t="shared" si="1"/>
        <v>8.6951333333333327</v>
      </c>
    </row>
    <row r="12" spans="1:17" x14ac:dyDescent="0.25">
      <c r="A12" s="366">
        <v>6</v>
      </c>
      <c r="B12" s="367">
        <v>35.049999999999997</v>
      </c>
      <c r="C12" s="367">
        <v>4.76</v>
      </c>
      <c r="D12" s="367">
        <v>6.35</v>
      </c>
      <c r="E12" s="367">
        <v>0.13</v>
      </c>
      <c r="F12" s="367">
        <v>46.29</v>
      </c>
      <c r="G12" s="368">
        <f>F31/25</f>
        <v>5.1063999999999998</v>
      </c>
      <c r="H12" s="368">
        <f t="shared" si="0"/>
        <v>9.3617333333333335</v>
      </c>
      <c r="I12" s="363"/>
      <c r="J12" s="366">
        <v>6</v>
      </c>
      <c r="K12" s="367">
        <v>31.06</v>
      </c>
      <c r="L12" s="367">
        <v>6.93</v>
      </c>
      <c r="M12" s="367">
        <v>4.57</v>
      </c>
      <c r="N12" s="367">
        <v>0.14000000000000001</v>
      </c>
      <c r="O12" s="367">
        <v>42.7</v>
      </c>
      <c r="P12" s="368">
        <f>O31/25</f>
        <v>4.7427999999999999</v>
      </c>
      <c r="Q12" s="368">
        <f t="shared" si="1"/>
        <v>8.6951333333333327</v>
      </c>
    </row>
    <row r="13" spans="1:17" x14ac:dyDescent="0.25">
      <c r="A13" s="366">
        <v>7</v>
      </c>
      <c r="B13" s="367">
        <v>40.98</v>
      </c>
      <c r="C13" s="367">
        <v>4.28</v>
      </c>
      <c r="D13" s="367">
        <v>6.3</v>
      </c>
      <c r="E13" s="367">
        <v>0.16</v>
      </c>
      <c r="F13" s="367">
        <v>51.72</v>
      </c>
      <c r="G13" s="368">
        <f>F31/25</f>
        <v>5.1063999999999998</v>
      </c>
      <c r="H13" s="368">
        <f t="shared" si="0"/>
        <v>9.3617333333333335</v>
      </c>
      <c r="I13" s="363"/>
      <c r="J13" s="366">
        <v>7</v>
      </c>
      <c r="K13" s="367">
        <v>36.630000000000003</v>
      </c>
      <c r="L13" s="367">
        <v>6.25</v>
      </c>
      <c r="M13" s="367">
        <v>4.5199999999999996</v>
      </c>
      <c r="N13" s="367">
        <v>0.17</v>
      </c>
      <c r="O13" s="367">
        <v>47.57</v>
      </c>
      <c r="P13" s="368">
        <f>O31/25</f>
        <v>4.7427999999999999</v>
      </c>
      <c r="Q13" s="368">
        <f t="shared" si="1"/>
        <v>8.6951333333333327</v>
      </c>
    </row>
    <row r="14" spans="1:17" x14ac:dyDescent="0.25">
      <c r="A14" s="366">
        <v>8</v>
      </c>
      <c r="B14" s="367">
        <v>47</v>
      </c>
      <c r="C14" s="367">
        <v>3.93</v>
      </c>
      <c r="D14" s="367">
        <v>6.42</v>
      </c>
      <c r="E14" s="367">
        <v>0.45</v>
      </c>
      <c r="F14" s="367">
        <v>57.8</v>
      </c>
      <c r="G14" s="368">
        <f>F31/25</f>
        <v>5.1063999999999998</v>
      </c>
      <c r="H14" s="368">
        <f t="shared" si="0"/>
        <v>9.3617333333333335</v>
      </c>
      <c r="I14" s="363"/>
      <c r="J14" s="366">
        <v>8</v>
      </c>
      <c r="K14" s="367">
        <v>42.3</v>
      </c>
      <c r="L14" s="367">
        <v>5.7</v>
      </c>
      <c r="M14" s="367">
        <v>4.6100000000000003</v>
      </c>
      <c r="N14" s="367">
        <v>0.39</v>
      </c>
      <c r="O14" s="367">
        <v>53</v>
      </c>
      <c r="P14" s="368">
        <f>O31/25</f>
        <v>4.7427999999999999</v>
      </c>
      <c r="Q14" s="368">
        <f t="shared" si="1"/>
        <v>8.6951333333333327</v>
      </c>
    </row>
    <row r="15" spans="1:17" x14ac:dyDescent="0.25">
      <c r="A15" s="366">
        <v>9</v>
      </c>
      <c r="B15" s="367">
        <v>52.92</v>
      </c>
      <c r="C15" s="367">
        <v>3.66</v>
      </c>
      <c r="D15" s="367">
        <v>6.58</v>
      </c>
      <c r="E15" s="367">
        <v>0.84</v>
      </c>
      <c r="F15" s="367">
        <v>64</v>
      </c>
      <c r="G15" s="368">
        <f>F31/25</f>
        <v>5.1063999999999998</v>
      </c>
      <c r="H15" s="368">
        <f t="shared" si="0"/>
        <v>9.3617333333333335</v>
      </c>
      <c r="I15" s="363"/>
      <c r="J15" s="366">
        <v>9</v>
      </c>
      <c r="K15" s="367">
        <v>47.9</v>
      </c>
      <c r="L15" s="367">
        <v>5.24</v>
      </c>
      <c r="M15" s="367">
        <v>4.74</v>
      </c>
      <c r="N15" s="367">
        <v>0.69</v>
      </c>
      <c r="O15" s="367">
        <v>58.57</v>
      </c>
      <c r="P15" s="368">
        <f>O31/25</f>
        <v>4.7427999999999999</v>
      </c>
      <c r="Q15" s="368">
        <f t="shared" si="1"/>
        <v>8.6951333333333327</v>
      </c>
    </row>
    <row r="16" spans="1:17" x14ac:dyDescent="0.25">
      <c r="A16" s="366">
        <v>10</v>
      </c>
      <c r="B16" s="367">
        <v>58.69</v>
      </c>
      <c r="C16" s="367">
        <v>3.46</v>
      </c>
      <c r="D16" s="367">
        <v>6.73</v>
      </c>
      <c r="E16" s="367">
        <v>1.1000000000000001</v>
      </c>
      <c r="F16" s="367">
        <v>69.98</v>
      </c>
      <c r="G16" s="368">
        <f>F31/25</f>
        <v>5.1063999999999998</v>
      </c>
      <c r="H16" s="368">
        <f t="shared" si="0"/>
        <v>9.3617333333333335</v>
      </c>
      <c r="I16" s="363"/>
      <c r="J16" s="366">
        <v>10</v>
      </c>
      <c r="K16" s="367">
        <v>53.4</v>
      </c>
      <c r="L16" s="367">
        <v>4.8600000000000003</v>
      </c>
      <c r="M16" s="367">
        <v>4.8600000000000003</v>
      </c>
      <c r="N16" s="367">
        <v>0.89</v>
      </c>
      <c r="O16" s="367">
        <v>64.010000000000005</v>
      </c>
      <c r="P16" s="368">
        <f>O31/25</f>
        <v>4.7427999999999999</v>
      </c>
      <c r="Q16" s="368">
        <f t="shared" si="1"/>
        <v>8.6951333333333327</v>
      </c>
    </row>
    <row r="17" spans="1:17" x14ac:dyDescent="0.25">
      <c r="A17" s="366">
        <v>11</v>
      </c>
      <c r="B17" s="367">
        <v>64.319999999999993</v>
      </c>
      <c r="C17" s="367">
        <v>3.3</v>
      </c>
      <c r="D17" s="367">
        <v>6.89</v>
      </c>
      <c r="E17" s="367">
        <v>1.33</v>
      </c>
      <c r="F17" s="367">
        <v>75.84</v>
      </c>
      <c r="G17" s="368">
        <f>F31/25</f>
        <v>5.1063999999999998</v>
      </c>
      <c r="H17" s="368">
        <f t="shared" si="0"/>
        <v>9.3617333333333335</v>
      </c>
      <c r="I17" s="363"/>
      <c r="J17" s="366">
        <v>11</v>
      </c>
      <c r="K17" s="367">
        <v>58.78</v>
      </c>
      <c r="L17" s="367">
        <v>4.54</v>
      </c>
      <c r="M17" s="367">
        <v>4.99</v>
      </c>
      <c r="N17" s="367">
        <v>1.07</v>
      </c>
      <c r="O17" s="367">
        <v>69.38</v>
      </c>
      <c r="P17" s="368">
        <f>O31/25</f>
        <v>4.7427999999999999</v>
      </c>
      <c r="Q17" s="368">
        <f t="shared" si="1"/>
        <v>8.6951333333333327</v>
      </c>
    </row>
    <row r="18" spans="1:17" x14ac:dyDescent="0.25">
      <c r="A18" s="366">
        <v>12</v>
      </c>
      <c r="B18" s="367">
        <v>69.760000000000005</v>
      </c>
      <c r="C18" s="367">
        <v>3.17</v>
      </c>
      <c r="D18" s="367">
        <v>7.05</v>
      </c>
      <c r="E18" s="367">
        <v>1.55</v>
      </c>
      <c r="F18" s="367">
        <v>81.53</v>
      </c>
      <c r="G18" s="368">
        <f>F31/25</f>
        <v>5.1063999999999998</v>
      </c>
      <c r="H18" s="368">
        <f t="shared" si="0"/>
        <v>9.3617333333333335</v>
      </c>
      <c r="I18" s="363"/>
      <c r="J18" s="366">
        <v>12</v>
      </c>
      <c r="K18" s="367">
        <v>64.010000000000005</v>
      </c>
      <c r="L18" s="367">
        <v>4.2699999999999996</v>
      </c>
      <c r="M18" s="367">
        <v>5.12</v>
      </c>
      <c r="N18" s="367">
        <v>1.24</v>
      </c>
      <c r="O18" s="367">
        <v>74.64</v>
      </c>
      <c r="P18" s="368">
        <f>O31/25</f>
        <v>4.7427999999999999</v>
      </c>
      <c r="Q18" s="368">
        <f t="shared" si="1"/>
        <v>8.6951333333333327</v>
      </c>
    </row>
    <row r="19" spans="1:17" x14ac:dyDescent="0.25">
      <c r="A19" s="366">
        <v>13</v>
      </c>
      <c r="B19" s="367">
        <v>75</v>
      </c>
      <c r="C19" s="367">
        <v>3.07</v>
      </c>
      <c r="D19" s="367">
        <v>7.22</v>
      </c>
      <c r="E19" s="367">
        <v>1.78</v>
      </c>
      <c r="F19" s="367">
        <v>87.07</v>
      </c>
      <c r="G19" s="368">
        <f>F31/25</f>
        <v>5.1063999999999998</v>
      </c>
      <c r="H19" s="368">
        <f t="shared" si="0"/>
        <v>9.3617333333333335</v>
      </c>
      <c r="I19" s="363"/>
      <c r="J19" s="366">
        <v>13</v>
      </c>
      <c r="K19" s="367">
        <v>69.05</v>
      </c>
      <c r="L19" s="367">
        <v>4.03</v>
      </c>
      <c r="M19" s="367">
        <v>5.26</v>
      </c>
      <c r="N19" s="367">
        <v>1.42</v>
      </c>
      <c r="O19" s="367">
        <v>79.760000000000005</v>
      </c>
      <c r="P19" s="368">
        <f>O31/25</f>
        <v>4.7427999999999999</v>
      </c>
      <c r="Q19" s="368">
        <f t="shared" si="1"/>
        <v>8.6951333333333327</v>
      </c>
    </row>
    <row r="20" spans="1:17" x14ac:dyDescent="0.25">
      <c r="A20" s="366">
        <v>14</v>
      </c>
      <c r="B20" s="367">
        <v>79.98</v>
      </c>
      <c r="C20" s="367">
        <v>2.98</v>
      </c>
      <c r="D20" s="367">
        <v>7.39</v>
      </c>
      <c r="E20" s="367">
        <v>2.0099999999999998</v>
      </c>
      <c r="F20" s="367">
        <v>92.36</v>
      </c>
      <c r="G20" s="368">
        <f>F31/25</f>
        <v>5.1063999999999998</v>
      </c>
      <c r="H20" s="368">
        <f t="shared" si="0"/>
        <v>9.3617333333333335</v>
      </c>
      <c r="I20" s="363"/>
      <c r="J20" s="366">
        <v>14</v>
      </c>
      <c r="K20" s="367">
        <v>73.86</v>
      </c>
      <c r="L20" s="367">
        <v>3.83</v>
      </c>
      <c r="M20" s="367">
        <v>5.41</v>
      </c>
      <c r="N20" s="367">
        <v>1.61</v>
      </c>
      <c r="O20" s="367">
        <v>84.71</v>
      </c>
      <c r="P20" s="368">
        <f>O31/25</f>
        <v>4.7427999999999999</v>
      </c>
      <c r="Q20" s="368">
        <f t="shared" si="1"/>
        <v>8.6951333333333327</v>
      </c>
    </row>
    <row r="21" spans="1:17" x14ac:dyDescent="0.25">
      <c r="A21" s="366">
        <v>15</v>
      </c>
      <c r="B21" s="367">
        <v>84.69</v>
      </c>
      <c r="C21" s="367">
        <v>2.91</v>
      </c>
      <c r="D21" s="367">
        <v>7.56</v>
      </c>
      <c r="E21" s="367">
        <v>2.2400000000000002</v>
      </c>
      <c r="F21" s="367">
        <v>97.4</v>
      </c>
      <c r="G21" s="368">
        <f>F31/25</f>
        <v>5.1063999999999998</v>
      </c>
      <c r="H21" s="368">
        <f t="shared" si="0"/>
        <v>9.3617333333333335</v>
      </c>
      <c r="I21" s="363"/>
      <c r="J21" s="366">
        <v>15</v>
      </c>
      <c r="K21" s="367">
        <v>78.430000000000007</v>
      </c>
      <c r="L21" s="367">
        <v>3.66</v>
      </c>
      <c r="M21" s="367">
        <v>5.56</v>
      </c>
      <c r="N21" s="367">
        <v>1.79</v>
      </c>
      <c r="O21" s="367">
        <v>89.44</v>
      </c>
      <c r="P21" s="368">
        <f>O31/25</f>
        <v>4.7427999999999999</v>
      </c>
      <c r="Q21" s="368">
        <f t="shared" si="1"/>
        <v>8.6951333333333327</v>
      </c>
    </row>
    <row r="22" spans="1:17" x14ac:dyDescent="0.25">
      <c r="A22" s="366">
        <v>16</v>
      </c>
      <c r="B22" s="367">
        <v>89.1</v>
      </c>
      <c r="C22" s="367">
        <v>2.85</v>
      </c>
      <c r="D22" s="367">
        <v>7.74</v>
      </c>
      <c r="E22" s="367">
        <v>2.4700000000000002</v>
      </c>
      <c r="F22" s="367">
        <v>102.16</v>
      </c>
      <c r="G22" s="368">
        <f>F31/25</f>
        <v>5.1063999999999998</v>
      </c>
      <c r="H22" s="368">
        <f t="shared" si="0"/>
        <v>9.3617333333333335</v>
      </c>
      <c r="I22" s="363"/>
      <c r="J22" s="366">
        <v>16</v>
      </c>
      <c r="K22" s="367">
        <v>82.71</v>
      </c>
      <c r="L22" s="367">
        <v>3.51</v>
      </c>
      <c r="M22" s="367">
        <v>5.71</v>
      </c>
      <c r="N22" s="367">
        <v>1.98</v>
      </c>
      <c r="O22" s="367">
        <v>93.91</v>
      </c>
      <c r="P22" s="368">
        <f>O31/25</f>
        <v>4.7427999999999999</v>
      </c>
      <c r="Q22" s="368">
        <f t="shared" si="1"/>
        <v>8.6951333333333327</v>
      </c>
    </row>
    <row r="23" spans="1:17" x14ac:dyDescent="0.25">
      <c r="A23" s="366">
        <v>17</v>
      </c>
      <c r="B23" s="367">
        <v>93.19</v>
      </c>
      <c r="C23" s="367">
        <v>2.8</v>
      </c>
      <c r="D23" s="367">
        <v>7.9</v>
      </c>
      <c r="E23" s="367">
        <v>2.7</v>
      </c>
      <c r="F23" s="367">
        <v>106.59</v>
      </c>
      <c r="G23" s="368">
        <f>F31/25</f>
        <v>5.1063999999999998</v>
      </c>
      <c r="H23" s="368">
        <f t="shared" si="0"/>
        <v>9.3617333333333335</v>
      </c>
      <c r="I23" s="363"/>
      <c r="J23" s="366">
        <v>17</v>
      </c>
      <c r="K23" s="367">
        <v>86.69</v>
      </c>
      <c r="L23" s="367">
        <v>3.39</v>
      </c>
      <c r="M23" s="367">
        <v>5.86</v>
      </c>
      <c r="N23" s="367">
        <v>2.17</v>
      </c>
      <c r="O23" s="367">
        <v>98.11</v>
      </c>
      <c r="P23" s="368">
        <f>O31/25</f>
        <v>4.7427999999999999</v>
      </c>
      <c r="Q23" s="368">
        <f t="shared" si="1"/>
        <v>8.6951333333333327</v>
      </c>
    </row>
    <row r="24" spans="1:17" x14ac:dyDescent="0.25">
      <c r="A24" s="366">
        <v>18</v>
      </c>
      <c r="B24" s="367">
        <v>96.9</v>
      </c>
      <c r="C24" s="367">
        <v>2.76</v>
      </c>
      <c r="D24" s="367">
        <v>8.06</v>
      </c>
      <c r="E24" s="367">
        <v>2.92</v>
      </c>
      <c r="F24" s="367">
        <v>110.64</v>
      </c>
      <c r="G24" s="368">
        <f>F31/25</f>
        <v>5.1063999999999998</v>
      </c>
      <c r="H24" s="368">
        <f t="shared" si="0"/>
        <v>9.3617333333333335</v>
      </c>
      <c r="I24" s="363"/>
      <c r="J24" s="366">
        <v>18</v>
      </c>
      <c r="K24" s="367">
        <v>90.33</v>
      </c>
      <c r="L24" s="367">
        <v>3.28</v>
      </c>
      <c r="M24" s="367">
        <v>6.01</v>
      </c>
      <c r="N24" s="367">
        <v>2.36</v>
      </c>
      <c r="O24" s="367">
        <v>101.98</v>
      </c>
      <c r="P24" s="368">
        <f>O31/25</f>
        <v>4.7427999999999999</v>
      </c>
      <c r="Q24" s="368">
        <f t="shared" si="1"/>
        <v>8.6951333333333327</v>
      </c>
    </row>
    <row r="25" spans="1:17" x14ac:dyDescent="0.25">
      <c r="A25" s="366">
        <v>19</v>
      </c>
      <c r="B25" s="367">
        <v>100.24</v>
      </c>
      <c r="C25" s="367">
        <v>2.73</v>
      </c>
      <c r="D25" s="367">
        <v>8.2100000000000009</v>
      </c>
      <c r="E25" s="367">
        <v>3.15</v>
      </c>
      <c r="F25" s="367">
        <v>114.33</v>
      </c>
      <c r="G25" s="368">
        <f>F31/25</f>
        <v>5.1063999999999998</v>
      </c>
      <c r="H25" s="368">
        <f t="shared" si="0"/>
        <v>9.3617333333333335</v>
      </c>
      <c r="I25" s="363"/>
      <c r="J25" s="366">
        <v>19</v>
      </c>
      <c r="K25" s="367">
        <v>93.62</v>
      </c>
      <c r="L25" s="367">
        <v>3.19</v>
      </c>
      <c r="M25" s="367">
        <v>6.15</v>
      </c>
      <c r="N25" s="367">
        <v>2.5499999999999998</v>
      </c>
      <c r="O25" s="367">
        <v>105.51</v>
      </c>
      <c r="P25" s="368">
        <f>O31/25</f>
        <v>4.7427999999999999</v>
      </c>
      <c r="Q25" s="368">
        <f t="shared" si="1"/>
        <v>8.6951333333333327</v>
      </c>
    </row>
    <row r="26" spans="1:17" x14ac:dyDescent="0.25">
      <c r="A26" s="366">
        <v>20</v>
      </c>
      <c r="B26" s="367">
        <v>103.21</v>
      </c>
      <c r="C26" s="367">
        <v>2.71</v>
      </c>
      <c r="D26" s="367">
        <v>8.33</v>
      </c>
      <c r="E26" s="367">
        <v>3.36</v>
      </c>
      <c r="F26" s="367">
        <v>117.61</v>
      </c>
      <c r="G26" s="368">
        <f>F31/25</f>
        <v>5.1063999999999998</v>
      </c>
      <c r="H26" s="368">
        <f t="shared" si="0"/>
        <v>9.3617333333333335</v>
      </c>
      <c r="I26" s="363"/>
      <c r="J26" s="366">
        <v>20</v>
      </c>
      <c r="K26" s="367">
        <v>96.54</v>
      </c>
      <c r="L26" s="367">
        <v>3.12</v>
      </c>
      <c r="M26" s="367">
        <v>6.27</v>
      </c>
      <c r="N26" s="367">
        <v>2.73</v>
      </c>
      <c r="O26" s="367">
        <v>108.66</v>
      </c>
      <c r="P26" s="368">
        <f>O31/25</f>
        <v>4.7427999999999999</v>
      </c>
      <c r="Q26" s="368">
        <f t="shared" si="1"/>
        <v>8.6951333333333327</v>
      </c>
    </row>
    <row r="27" spans="1:17" x14ac:dyDescent="0.25">
      <c r="A27" s="366">
        <v>21</v>
      </c>
      <c r="B27" s="367">
        <v>105.77</v>
      </c>
      <c r="C27" s="367">
        <v>2.69</v>
      </c>
      <c r="D27" s="367">
        <v>8.44</v>
      </c>
      <c r="E27" s="367">
        <v>3.57</v>
      </c>
      <c r="F27" s="367">
        <v>120.47</v>
      </c>
      <c r="G27" s="368">
        <f>F31/25</f>
        <v>5.1063999999999998</v>
      </c>
      <c r="H27" s="368">
        <f t="shared" si="0"/>
        <v>9.3617333333333335</v>
      </c>
      <c r="I27" s="363"/>
      <c r="J27" s="366">
        <v>21</v>
      </c>
      <c r="K27" s="367">
        <v>99.09</v>
      </c>
      <c r="L27" s="367">
        <v>3.06</v>
      </c>
      <c r="M27" s="367">
        <v>6.39</v>
      </c>
      <c r="N27" s="367">
        <v>2.91</v>
      </c>
      <c r="O27" s="367">
        <v>111.45</v>
      </c>
      <c r="P27" s="368">
        <f>O31/25</f>
        <v>4.7427999999999999</v>
      </c>
      <c r="Q27" s="368">
        <f t="shared" si="1"/>
        <v>8.6951333333333327</v>
      </c>
    </row>
    <row r="28" spans="1:17" x14ac:dyDescent="0.25">
      <c r="A28" s="366">
        <v>22</v>
      </c>
      <c r="B28" s="367">
        <v>107.89</v>
      </c>
      <c r="C28" s="367">
        <v>2.68</v>
      </c>
      <c r="D28" s="367">
        <v>8.5399999999999991</v>
      </c>
      <c r="E28" s="367">
        <v>3.77</v>
      </c>
      <c r="F28" s="367">
        <v>122.88</v>
      </c>
      <c r="G28" s="368">
        <f>F31/25</f>
        <v>5.1063999999999998</v>
      </c>
      <c r="H28" s="368">
        <f t="shared" si="0"/>
        <v>9.3617333333333335</v>
      </c>
      <c r="I28" s="363"/>
      <c r="J28" s="366">
        <v>22</v>
      </c>
      <c r="K28" s="367">
        <v>101.24</v>
      </c>
      <c r="L28" s="367">
        <v>3</v>
      </c>
      <c r="M28" s="367">
        <v>6.49</v>
      </c>
      <c r="N28" s="367">
        <v>3.08</v>
      </c>
      <c r="O28" s="367">
        <v>113.81</v>
      </c>
      <c r="P28" s="368">
        <f>O31/25</f>
        <v>4.7427999999999999</v>
      </c>
      <c r="Q28" s="368">
        <f t="shared" si="1"/>
        <v>8.6951333333333327</v>
      </c>
    </row>
    <row r="29" spans="1:17" x14ac:dyDescent="0.25">
      <c r="A29" s="366">
        <v>23</v>
      </c>
      <c r="B29" s="367">
        <v>109.65</v>
      </c>
      <c r="C29" s="367">
        <v>2.67</v>
      </c>
      <c r="D29" s="367">
        <v>8.61</v>
      </c>
      <c r="E29" s="367">
        <v>3.96</v>
      </c>
      <c r="F29" s="367">
        <v>124.89</v>
      </c>
      <c r="G29" s="368">
        <f>F31/25</f>
        <v>5.1063999999999998</v>
      </c>
      <c r="H29" s="368">
        <f t="shared" si="0"/>
        <v>9.3617333333333335</v>
      </c>
      <c r="I29" s="363"/>
      <c r="J29" s="366">
        <v>23</v>
      </c>
      <c r="K29" s="367">
        <v>103.01</v>
      </c>
      <c r="L29" s="367">
        <v>2.96</v>
      </c>
      <c r="M29" s="367">
        <v>6.58</v>
      </c>
      <c r="N29" s="367">
        <v>3.25</v>
      </c>
      <c r="O29" s="367">
        <v>115.8</v>
      </c>
      <c r="P29" s="368">
        <f>O31/25</f>
        <v>4.7427999999999999</v>
      </c>
      <c r="Q29" s="368">
        <f t="shared" si="1"/>
        <v>8.6951333333333327</v>
      </c>
    </row>
    <row r="30" spans="1:17" x14ac:dyDescent="0.25">
      <c r="A30" s="366">
        <v>24</v>
      </c>
      <c r="B30" s="367">
        <v>111.01</v>
      </c>
      <c r="C30" s="367">
        <v>2.67</v>
      </c>
      <c r="D30" s="367">
        <v>8.67</v>
      </c>
      <c r="E30" s="367">
        <v>4.1399999999999997</v>
      </c>
      <c r="F30" s="367">
        <v>126.49</v>
      </c>
      <c r="G30" s="368">
        <f>F31/25</f>
        <v>5.1063999999999998</v>
      </c>
      <c r="H30" s="368">
        <f t="shared" si="0"/>
        <v>9.3617333333333335</v>
      </c>
      <c r="I30" s="363"/>
      <c r="J30" s="366">
        <v>24</v>
      </c>
      <c r="K30" s="367">
        <v>104.39</v>
      </c>
      <c r="L30" s="367">
        <v>2.92</v>
      </c>
      <c r="M30" s="367">
        <v>6.65</v>
      </c>
      <c r="N30" s="367">
        <v>3.41</v>
      </c>
      <c r="O30" s="367">
        <v>117.37</v>
      </c>
      <c r="P30" s="368">
        <f>O31/25</f>
        <v>4.7427999999999999</v>
      </c>
      <c r="Q30" s="368">
        <f t="shared" si="1"/>
        <v>8.6951333333333327</v>
      </c>
    </row>
    <row r="31" spans="1:17" x14ac:dyDescent="0.25">
      <c r="A31" s="366">
        <v>25</v>
      </c>
      <c r="B31" s="367">
        <v>111.97</v>
      </c>
      <c r="C31" s="367">
        <v>2.66</v>
      </c>
      <c r="D31" s="367">
        <v>8.7200000000000006</v>
      </c>
      <c r="E31" s="367">
        <v>4.3099999999999996</v>
      </c>
      <c r="F31" s="367">
        <v>127.66</v>
      </c>
      <c r="G31" s="368">
        <f>F31/25</f>
        <v>5.1063999999999998</v>
      </c>
      <c r="H31" s="368">
        <f t="shared" si="0"/>
        <v>9.3617333333333335</v>
      </c>
      <c r="I31" s="363"/>
      <c r="J31" s="366">
        <v>25</v>
      </c>
      <c r="K31" s="367">
        <v>105.4</v>
      </c>
      <c r="L31" s="367">
        <v>2.89</v>
      </c>
      <c r="M31" s="367">
        <v>6.72</v>
      </c>
      <c r="N31" s="367">
        <v>3.56</v>
      </c>
      <c r="O31" s="367">
        <v>118.57</v>
      </c>
      <c r="P31" s="368">
        <f>O31/25</f>
        <v>4.7427999999999999</v>
      </c>
      <c r="Q31" s="368">
        <f t="shared" si="1"/>
        <v>8.6951333333333327</v>
      </c>
    </row>
    <row r="33" spans="1:1" x14ac:dyDescent="0.25">
      <c r="A33" s="471" t="s">
        <v>521</v>
      </c>
    </row>
  </sheetData>
  <mergeCells count="1">
    <mergeCell ref="A2:Q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83"/>
  <sheetViews>
    <sheetView topLeftCell="A73" workbookViewId="0">
      <selection activeCell="A83" sqref="A83"/>
    </sheetView>
  </sheetViews>
  <sheetFormatPr defaultColWidth="9.140625" defaultRowHeight="15" x14ac:dyDescent="0.25"/>
  <cols>
    <col min="1" max="1" width="59.85546875" style="62" customWidth="1"/>
    <col min="2" max="2" width="10.140625" style="62" bestFit="1" customWidth="1"/>
    <col min="3" max="3" width="4.85546875" style="62" customWidth="1"/>
    <col min="4" max="4" width="28.85546875" style="62" customWidth="1"/>
    <col min="5" max="5" width="10.140625" style="62" customWidth="1"/>
    <col min="6" max="6" width="4.85546875" style="62" customWidth="1"/>
    <col min="7" max="7" width="69.42578125" style="62" customWidth="1"/>
    <col min="8" max="8" width="10.140625" style="62" customWidth="1"/>
    <col min="9" max="9" width="3.85546875" style="62" customWidth="1"/>
    <col min="10" max="10" width="27.85546875" style="62" bestFit="1" customWidth="1"/>
    <col min="11" max="11" width="12.140625" style="62" customWidth="1"/>
    <col min="12" max="16384" width="9.140625" style="62"/>
  </cols>
  <sheetData>
    <row r="1" spans="1:7" x14ac:dyDescent="0.25">
      <c r="A1" s="70"/>
    </row>
    <row r="2" spans="1:7" ht="54.75" customHeight="1" x14ac:dyDescent="0.25">
      <c r="A2" s="418" t="s">
        <v>378</v>
      </c>
      <c r="B2" s="419"/>
      <c r="C2" s="420"/>
      <c r="D2" s="420"/>
      <c r="E2" s="420"/>
      <c r="F2" s="420"/>
      <c r="G2" s="421"/>
    </row>
    <row r="3" spans="1:7" x14ac:dyDescent="0.25">
      <c r="A3" s="71"/>
    </row>
    <row r="4" spans="1:7" x14ac:dyDescent="0.25">
      <c r="A4" s="70" t="s">
        <v>379</v>
      </c>
      <c r="B4" s="67"/>
    </row>
    <row r="5" spans="1:7" x14ac:dyDescent="0.25">
      <c r="A5" s="70" t="s">
        <v>380</v>
      </c>
      <c r="B5" s="67"/>
    </row>
    <row r="6" spans="1:7" x14ac:dyDescent="0.25">
      <c r="A6" s="76" t="s">
        <v>381</v>
      </c>
      <c r="B6" s="144">
        <f>'2. Production regimes (FFB)'!B8</f>
        <v>0</v>
      </c>
    </row>
    <row r="7" spans="1:7" x14ac:dyDescent="0.25">
      <c r="A7" s="62" t="s">
        <v>382</v>
      </c>
      <c r="B7" s="399"/>
    </row>
    <row r="8" spans="1:7" x14ac:dyDescent="0.25">
      <c r="A8" s="62" t="s">
        <v>384</v>
      </c>
      <c r="B8" s="399"/>
    </row>
    <row r="9" spans="1:7" x14ac:dyDescent="0.25">
      <c r="A9" s="62" t="s">
        <v>383</v>
      </c>
      <c r="B9" s="144">
        <f>B6*B7/100</f>
        <v>0</v>
      </c>
    </row>
    <row r="10" spans="1:7" x14ac:dyDescent="0.25">
      <c r="A10" s="62" t="s">
        <v>385</v>
      </c>
      <c r="B10" s="144">
        <f>B6*B8/100</f>
        <v>0</v>
      </c>
    </row>
    <row r="11" spans="1:7" x14ac:dyDescent="0.25">
      <c r="A11" s="70"/>
      <c r="B11" s="67"/>
    </row>
    <row r="12" spans="1:7" x14ac:dyDescent="0.25">
      <c r="A12" s="70" t="s">
        <v>386</v>
      </c>
      <c r="B12" s="67"/>
    </row>
    <row r="13" spans="1:7" x14ac:dyDescent="0.25">
      <c r="A13" s="198" t="s">
        <v>387</v>
      </c>
    </row>
    <row r="14" spans="1:7" ht="18" x14ac:dyDescent="0.35">
      <c r="A14" s="74" t="s">
        <v>69</v>
      </c>
      <c r="B14" s="75">
        <f>'Donnees par defaut'!B7</f>
        <v>3.12</v>
      </c>
      <c r="D14" s="74" t="s">
        <v>122</v>
      </c>
      <c r="E14" s="399"/>
    </row>
    <row r="15" spans="1:7" ht="18" x14ac:dyDescent="0.35">
      <c r="A15" s="74" t="s">
        <v>243</v>
      </c>
      <c r="B15" s="63">
        <f>'Donnees par defaut'!B8</f>
        <v>2.75</v>
      </c>
      <c r="D15" s="199" t="s">
        <v>123</v>
      </c>
      <c r="E15" s="399"/>
    </row>
    <row r="16" spans="1:7" ht="15.75" customHeight="1" x14ac:dyDescent="0.25">
      <c r="A16" s="70"/>
      <c r="B16" s="67"/>
    </row>
    <row r="17" spans="1:11" x14ac:dyDescent="0.25">
      <c r="A17" s="197" t="s">
        <v>388</v>
      </c>
      <c r="B17" s="63"/>
    </row>
    <row r="18" spans="1:11" x14ac:dyDescent="0.25">
      <c r="A18" s="196" t="s">
        <v>89</v>
      </c>
      <c r="B18" s="63"/>
      <c r="D18" s="70" t="s">
        <v>390</v>
      </c>
      <c r="G18" s="70" t="s">
        <v>124</v>
      </c>
      <c r="J18" s="70" t="s">
        <v>125</v>
      </c>
    </row>
    <row r="19" spans="1:11" ht="18" customHeight="1" x14ac:dyDescent="0.25">
      <c r="A19" s="74" t="s">
        <v>389</v>
      </c>
      <c r="B19" s="402"/>
      <c r="D19" s="412" t="s">
        <v>389</v>
      </c>
      <c r="E19" s="402">
        <v>0</v>
      </c>
      <c r="G19" s="412" t="s">
        <v>389</v>
      </c>
      <c r="H19" s="403">
        <v>0</v>
      </c>
      <c r="J19" s="412" t="s">
        <v>389</v>
      </c>
      <c r="K19" s="270">
        <v>0</v>
      </c>
    </row>
    <row r="20" spans="1:11" x14ac:dyDescent="0.25">
      <c r="A20" s="62" t="s">
        <v>245</v>
      </c>
      <c r="B20" s="144">
        <f>B19*B6</f>
        <v>0</v>
      </c>
      <c r="D20" s="62" t="s">
        <v>245</v>
      </c>
      <c r="E20" s="144">
        <f>E19*B6</f>
        <v>0</v>
      </c>
      <c r="G20" s="62" t="s">
        <v>245</v>
      </c>
      <c r="H20" s="144">
        <f>H19*B6</f>
        <v>0</v>
      </c>
      <c r="J20" s="62" t="s">
        <v>245</v>
      </c>
      <c r="K20" s="144">
        <f>K19*B6</f>
        <v>0</v>
      </c>
    </row>
    <row r="21" spans="1:11" x14ac:dyDescent="0.25">
      <c r="B21" s="67"/>
      <c r="E21" s="67"/>
    </row>
    <row r="22" spans="1:11" x14ac:dyDescent="0.25">
      <c r="A22" s="113" t="s">
        <v>391</v>
      </c>
      <c r="B22" s="97"/>
    </row>
    <row r="23" spans="1:11" ht="18" x14ac:dyDescent="0.35">
      <c r="A23" s="89" t="s">
        <v>392</v>
      </c>
      <c r="B23" s="134">
        <f>(B20*B14+E20*B15+H20*E14+K20*E15)/1000</f>
        <v>0</v>
      </c>
    </row>
    <row r="24" spans="1:11" x14ac:dyDescent="0.25">
      <c r="A24" s="70"/>
      <c r="B24" s="67"/>
    </row>
    <row r="25" spans="1:11" x14ac:dyDescent="0.25">
      <c r="A25" s="179" t="s">
        <v>393</v>
      </c>
      <c r="B25" s="82"/>
      <c r="C25" s="76"/>
    </row>
    <row r="26" spans="1:11" x14ac:dyDescent="0.25">
      <c r="A26" s="113" t="s">
        <v>394</v>
      </c>
      <c r="C26" s="76"/>
    </row>
    <row r="27" spans="1:11" x14ac:dyDescent="0.25">
      <c r="A27" s="76" t="s">
        <v>396</v>
      </c>
      <c r="B27" s="108">
        <f>'Donnees par defaut'!B19</f>
        <v>0.67249999999999999</v>
      </c>
      <c r="C27" s="76"/>
    </row>
    <row r="28" spans="1:11" x14ac:dyDescent="0.25">
      <c r="A28" s="76" t="s">
        <v>395</v>
      </c>
      <c r="B28" s="108">
        <f>'Donnees par defaut'!B20</f>
        <v>13.1</v>
      </c>
      <c r="C28" s="76"/>
    </row>
    <row r="29" spans="1:11" ht="18" x14ac:dyDescent="0.35">
      <c r="A29" s="76" t="s">
        <v>38</v>
      </c>
      <c r="B29" s="108">
        <f>'Donnees par defaut'!B21</f>
        <v>22.25</v>
      </c>
      <c r="C29" s="76"/>
    </row>
    <row r="30" spans="1:11" x14ac:dyDescent="0.25">
      <c r="A30" s="76" t="s">
        <v>400</v>
      </c>
      <c r="B30" s="108">
        <f>'Donnees par defaut'!B22</f>
        <v>0.22</v>
      </c>
      <c r="C30" s="76"/>
    </row>
    <row r="31" spans="1:11" s="76" customFormat="1" x14ac:dyDescent="0.25">
      <c r="A31" s="179"/>
      <c r="B31" s="82"/>
      <c r="C31" s="62"/>
      <c r="D31" s="62"/>
      <c r="E31" s="62"/>
    </row>
    <row r="32" spans="1:11" s="88" customFormat="1" x14ac:dyDescent="0.25">
      <c r="A32" s="179" t="s">
        <v>399</v>
      </c>
      <c r="B32" s="82"/>
      <c r="C32" s="62"/>
      <c r="D32" s="62"/>
      <c r="E32" s="62"/>
    </row>
    <row r="33" spans="1:11" x14ac:dyDescent="0.25">
      <c r="A33" s="131" t="s">
        <v>397</v>
      </c>
      <c r="B33" s="200">
        <f>B6*B27</f>
        <v>0</v>
      </c>
    </row>
    <row r="34" spans="1:11" ht="18" x14ac:dyDescent="0.35">
      <c r="A34" s="76" t="s">
        <v>398</v>
      </c>
      <c r="B34" s="68">
        <f>B33*B28/1000</f>
        <v>0</v>
      </c>
    </row>
    <row r="35" spans="1:11" x14ac:dyDescent="0.25">
      <c r="A35" s="76"/>
    </row>
    <row r="36" spans="1:11" x14ac:dyDescent="0.25">
      <c r="A36" s="113" t="s">
        <v>401</v>
      </c>
      <c r="B36" s="82"/>
    </row>
    <row r="37" spans="1:11" x14ac:dyDescent="0.25">
      <c r="A37" s="132" t="s">
        <v>420</v>
      </c>
      <c r="B37" s="41"/>
    </row>
    <row r="38" spans="1:11" x14ac:dyDescent="0.25">
      <c r="A38" s="132" t="s">
        <v>402</v>
      </c>
      <c r="B38" s="41"/>
    </row>
    <row r="39" spans="1:11" x14ac:dyDescent="0.25">
      <c r="A39" s="132" t="s">
        <v>403</v>
      </c>
      <c r="B39" s="41"/>
      <c r="G39" s="454" t="s">
        <v>407</v>
      </c>
      <c r="H39" s="454"/>
      <c r="I39" s="454"/>
      <c r="J39" s="454"/>
      <c r="K39" s="454"/>
    </row>
    <row r="40" spans="1:11" ht="15.75" thickBot="1" x14ac:dyDescent="0.3">
      <c r="A40" s="132"/>
      <c r="B40" s="90" t="str">
        <f>IF(SUM(B37:B39)=100,"","AVERTISSEMENT!")</f>
        <v>AVERTISSEMENT!</v>
      </c>
      <c r="G40" s="455"/>
      <c r="H40" s="455"/>
      <c r="I40" s="455"/>
      <c r="J40" s="455"/>
      <c r="K40" s="455"/>
    </row>
    <row r="41" spans="1:11" ht="18" customHeight="1" x14ac:dyDescent="0.25">
      <c r="A41" s="133" t="s">
        <v>404</v>
      </c>
      <c r="B41" s="88"/>
      <c r="G41" s="327" t="s">
        <v>439</v>
      </c>
      <c r="H41" s="328"/>
      <c r="I41" s="329"/>
      <c r="J41" s="330" t="s">
        <v>152</v>
      </c>
      <c r="K41" s="214"/>
    </row>
    <row r="42" spans="1:11" ht="18" customHeight="1" x14ac:dyDescent="0.35">
      <c r="A42" s="116" t="s">
        <v>405</v>
      </c>
      <c r="B42" s="135">
        <f>'Donnees par defaut'!$B23</f>
        <v>7.8</v>
      </c>
      <c r="G42" s="331" t="s">
        <v>440</v>
      </c>
      <c r="H42" s="272"/>
      <c r="I42" s="276"/>
      <c r="J42" s="332">
        <v>0.42627999999999999</v>
      </c>
      <c r="K42" s="275"/>
    </row>
    <row r="43" spans="1:11" ht="18" customHeight="1" x14ac:dyDescent="0.35">
      <c r="A43" s="116" t="s">
        <v>406</v>
      </c>
      <c r="B43" s="118">
        <f>'Donnees par defaut'!$B24</f>
        <v>15</v>
      </c>
      <c r="G43" s="331" t="s">
        <v>441</v>
      </c>
      <c r="H43" s="272"/>
      <c r="I43" s="276"/>
      <c r="J43" s="332">
        <v>9.8169999999999993E-2</v>
      </c>
      <c r="K43" s="275"/>
    </row>
    <row r="44" spans="1:11" ht="18" customHeight="1" x14ac:dyDescent="0.35">
      <c r="A44" s="116" t="s">
        <v>408</v>
      </c>
      <c r="B44" s="118">
        <f>'Donnees par defaut'!$B25</f>
        <v>12</v>
      </c>
      <c r="G44" s="331" t="s">
        <v>442</v>
      </c>
      <c r="H44" s="272"/>
      <c r="I44" s="276"/>
      <c r="J44" s="332">
        <v>0.52895999999999999</v>
      </c>
      <c r="K44" s="275"/>
    </row>
    <row r="45" spans="1:11" ht="18" customHeight="1" x14ac:dyDescent="0.35">
      <c r="A45" s="116" t="s">
        <v>409</v>
      </c>
      <c r="B45" s="94">
        <f>(100-B42)-(100-B42)*B43/100</f>
        <v>78.37</v>
      </c>
      <c r="G45" s="331" t="s">
        <v>443</v>
      </c>
      <c r="H45" s="272"/>
      <c r="I45" s="276"/>
      <c r="J45" s="332">
        <v>0.20859</v>
      </c>
      <c r="K45" s="275"/>
    </row>
    <row r="46" spans="1:11" ht="18" customHeight="1" x14ac:dyDescent="0.35">
      <c r="A46" s="116" t="s">
        <v>410</v>
      </c>
      <c r="B46" s="135">
        <f>'Donnees par defaut'!$B26</f>
        <v>1.2</v>
      </c>
      <c r="G46" s="331" t="s">
        <v>444</v>
      </c>
      <c r="H46" s="272"/>
      <c r="I46" s="276"/>
      <c r="J46" s="332">
        <v>0.12277</v>
      </c>
      <c r="K46" s="275"/>
    </row>
    <row r="47" spans="1:11" ht="18" customHeight="1" x14ac:dyDescent="0.25">
      <c r="A47" s="116" t="s">
        <v>411</v>
      </c>
      <c r="B47" s="94">
        <f>B42+((100-B42)*B43/100*B44/100)+(B45*B46/100)</f>
        <v>10.400040000000001</v>
      </c>
      <c r="G47" s="331" t="s">
        <v>144</v>
      </c>
      <c r="H47" s="272"/>
      <c r="I47" s="276"/>
      <c r="J47" s="332">
        <v>0.22996</v>
      </c>
      <c r="K47" s="275"/>
    </row>
    <row r="48" spans="1:11" ht="18" customHeight="1" x14ac:dyDescent="0.25">
      <c r="A48" s="116" t="s">
        <v>412</v>
      </c>
      <c r="B48" s="118">
        <f>'Donnees par defaut'!$B27</f>
        <v>40</v>
      </c>
      <c r="G48" s="331" t="s">
        <v>145</v>
      </c>
      <c r="H48" s="272"/>
      <c r="I48" s="276"/>
      <c r="J48" s="332">
        <v>5.4359999999999999E-2</v>
      </c>
      <c r="K48" s="275"/>
    </row>
    <row r="49" spans="1:11" ht="18" customHeight="1" x14ac:dyDescent="0.35">
      <c r="A49" s="116" t="s">
        <v>413</v>
      </c>
      <c r="B49" s="94">
        <f>B45*B48/100</f>
        <v>31.348000000000003</v>
      </c>
      <c r="G49" s="331" t="s">
        <v>146</v>
      </c>
      <c r="H49" s="272"/>
      <c r="I49" s="276"/>
      <c r="J49" s="332">
        <v>0.49037999999999998</v>
      </c>
      <c r="K49" s="275"/>
    </row>
    <row r="50" spans="1:11" ht="18" customHeight="1" x14ac:dyDescent="0.35">
      <c r="A50" s="116" t="s">
        <v>471</v>
      </c>
      <c r="B50" s="135">
        <f>'Donnees par defaut'!$B28</f>
        <v>45.1</v>
      </c>
      <c r="G50" s="331" t="s">
        <v>445</v>
      </c>
      <c r="H50" s="272"/>
      <c r="I50" s="276"/>
      <c r="J50" s="332">
        <v>0.31302000000000002</v>
      </c>
      <c r="K50" s="275"/>
    </row>
    <row r="51" spans="1:11" ht="18" customHeight="1" x14ac:dyDescent="0.35">
      <c r="A51" s="101" t="s">
        <v>414</v>
      </c>
      <c r="B51" s="136">
        <f>'Donnees par defaut'!$B30</f>
        <v>0.17699999999999999</v>
      </c>
      <c r="G51" s="331" t="s">
        <v>147</v>
      </c>
      <c r="H51" s="272"/>
      <c r="I51" s="276"/>
      <c r="J51" s="332">
        <v>0.43613000000000002</v>
      </c>
      <c r="K51" s="275"/>
    </row>
    <row r="52" spans="1:11" ht="18" customHeight="1" x14ac:dyDescent="0.25">
      <c r="A52" s="133" t="s">
        <v>415</v>
      </c>
      <c r="G52" s="331" t="s">
        <v>148</v>
      </c>
      <c r="H52" s="272"/>
      <c r="I52" s="276"/>
      <c r="J52" s="332">
        <v>0.24944</v>
      </c>
      <c r="K52" s="275"/>
    </row>
    <row r="53" spans="1:11" ht="18" customHeight="1" x14ac:dyDescent="0.35">
      <c r="A53" s="116" t="s">
        <v>416</v>
      </c>
      <c r="B53" s="135">
        <f>'Donnees par defaut'!$B23</f>
        <v>7.8</v>
      </c>
      <c r="C53" s="85"/>
      <c r="G53" s="331" t="s">
        <v>149</v>
      </c>
      <c r="H53" s="272"/>
      <c r="I53" s="276"/>
      <c r="J53" s="332">
        <v>0.25423000000000001</v>
      </c>
      <c r="K53" s="275"/>
    </row>
    <row r="54" spans="1:11" ht="18" customHeight="1" x14ac:dyDescent="0.35">
      <c r="A54" s="116" t="s">
        <v>408</v>
      </c>
      <c r="B54" s="118">
        <f>'Donnees par defaut'!$B25</f>
        <v>12</v>
      </c>
      <c r="C54" s="85"/>
      <c r="G54" s="331" t="s">
        <v>150</v>
      </c>
      <c r="H54" s="272"/>
      <c r="I54" s="276"/>
      <c r="J54" s="332">
        <v>0.36347000000000002</v>
      </c>
      <c r="K54" s="275"/>
    </row>
    <row r="55" spans="1:11" ht="18" customHeight="1" x14ac:dyDescent="0.35">
      <c r="A55" s="101" t="s">
        <v>417</v>
      </c>
      <c r="B55" s="94">
        <f>B53+(100-B53)*B54/100</f>
        <v>18.864000000000001</v>
      </c>
      <c r="C55" s="85"/>
      <c r="F55" s="190"/>
      <c r="G55" s="331" t="s">
        <v>446</v>
      </c>
      <c r="H55" s="272"/>
      <c r="I55" s="276"/>
      <c r="J55" s="332">
        <v>0.92610000000000003</v>
      </c>
      <c r="K55" s="275"/>
    </row>
    <row r="56" spans="1:11" x14ac:dyDescent="0.25">
      <c r="A56" s="101"/>
      <c r="B56" s="76"/>
      <c r="C56" s="85"/>
      <c r="G56" s="331" t="s">
        <v>447</v>
      </c>
      <c r="H56" s="272"/>
      <c r="I56" s="276"/>
      <c r="J56" s="332">
        <v>0.80918999999999996</v>
      </c>
      <c r="K56" s="275"/>
    </row>
    <row r="57" spans="1:11" x14ac:dyDescent="0.25">
      <c r="A57" s="130" t="s">
        <v>418</v>
      </c>
      <c r="B57" s="108"/>
      <c r="C57" s="85"/>
      <c r="G57" s="331" t="s">
        <v>448</v>
      </c>
      <c r="H57" s="272"/>
      <c r="I57" s="276"/>
      <c r="J57" s="332">
        <v>0.67135999999999996</v>
      </c>
      <c r="K57" s="275"/>
    </row>
    <row r="58" spans="1:11" x14ac:dyDescent="0.25">
      <c r="A58" s="116" t="s">
        <v>421</v>
      </c>
      <c r="B58" s="93">
        <f>B34*B37/100*B29</f>
        <v>0</v>
      </c>
      <c r="C58" s="85"/>
      <c r="D58" s="85"/>
      <c r="E58" s="85"/>
      <c r="G58" s="331" t="s">
        <v>151</v>
      </c>
      <c r="H58" s="272"/>
      <c r="I58" s="276"/>
      <c r="J58" s="332">
        <v>0.40322000000000002</v>
      </c>
      <c r="K58" s="275"/>
    </row>
    <row r="59" spans="1:11" x14ac:dyDescent="0.25">
      <c r="A59" s="116" t="s">
        <v>419</v>
      </c>
      <c r="B59" s="93">
        <f>B34*B38/100*B55/100*B29</f>
        <v>0</v>
      </c>
      <c r="G59" s="331" t="s">
        <v>449</v>
      </c>
      <c r="H59" s="272"/>
      <c r="I59" s="276"/>
      <c r="J59" s="332">
        <v>0.28555999999999998</v>
      </c>
      <c r="K59" s="275"/>
    </row>
    <row r="60" spans="1:11" ht="15.75" thickBot="1" x14ac:dyDescent="0.3">
      <c r="A60" s="116" t="s">
        <v>126</v>
      </c>
      <c r="B60" s="93">
        <f>B34*B39/100*B47/100*B29</f>
        <v>0</v>
      </c>
      <c r="G60" s="333" t="s">
        <v>450</v>
      </c>
      <c r="H60" s="334"/>
      <c r="I60" s="335"/>
      <c r="J60" s="336">
        <v>0.50041999999999998</v>
      </c>
      <c r="K60" s="275"/>
    </row>
    <row r="61" spans="1:11" ht="18" x14ac:dyDescent="0.35">
      <c r="A61" s="116" t="s">
        <v>422</v>
      </c>
      <c r="B61" s="93">
        <f>SUM(B58:B60)</f>
        <v>0</v>
      </c>
    </row>
    <row r="62" spans="1:11" x14ac:dyDescent="0.25">
      <c r="A62" s="116"/>
      <c r="B62" s="107"/>
    </row>
    <row r="63" spans="1:11" x14ac:dyDescent="0.25">
      <c r="A63" s="100" t="s">
        <v>424</v>
      </c>
      <c r="B63" s="68"/>
    </row>
    <row r="64" spans="1:11" ht="18" x14ac:dyDescent="0.35">
      <c r="A64" s="116" t="s">
        <v>425</v>
      </c>
      <c r="B64" s="404"/>
      <c r="D64" s="70" t="s">
        <v>423</v>
      </c>
    </row>
    <row r="65" spans="1:7" x14ac:dyDescent="0.25">
      <c r="A65" s="116" t="s">
        <v>426</v>
      </c>
      <c r="B65" s="405"/>
    </row>
    <row r="66" spans="1:7" x14ac:dyDescent="0.25">
      <c r="A66" s="116" t="s">
        <v>427</v>
      </c>
      <c r="B66" s="405"/>
    </row>
    <row r="67" spans="1:7" ht="18" x14ac:dyDescent="0.35">
      <c r="A67" s="116" t="s">
        <v>428</v>
      </c>
      <c r="B67" s="93">
        <f>B65*B64*1/1000</f>
        <v>0</v>
      </c>
      <c r="D67" s="271"/>
    </row>
    <row r="68" spans="1:7" ht="18" x14ac:dyDescent="0.35">
      <c r="A68" s="116" t="s">
        <v>429</v>
      </c>
      <c r="B68" s="93">
        <f>B66*B64*1/1000</f>
        <v>0</v>
      </c>
    </row>
    <row r="70" spans="1:7" x14ac:dyDescent="0.25">
      <c r="A70" s="70" t="s">
        <v>430</v>
      </c>
    </row>
    <row r="71" spans="1:7" x14ac:dyDescent="0.25">
      <c r="A71" s="62" t="s">
        <v>431</v>
      </c>
      <c r="B71" s="68">
        <f>B6*B8/100</f>
        <v>0</v>
      </c>
    </row>
    <row r="72" spans="1:7" x14ac:dyDescent="0.25">
      <c r="A72" s="62" t="s">
        <v>432</v>
      </c>
      <c r="B72" s="399"/>
    </row>
    <row r="73" spans="1:7" x14ac:dyDescent="0.25">
      <c r="A73" s="131" t="s">
        <v>433</v>
      </c>
      <c r="B73" s="105">
        <f>B72*'Donnees par defaut'!B29/1000</f>
        <v>0</v>
      </c>
      <c r="G73" s="119"/>
    </row>
    <row r="74" spans="1:7" x14ac:dyDescent="0.25">
      <c r="A74" s="62" t="s">
        <v>434</v>
      </c>
      <c r="B74" s="68">
        <f>B30*B6</f>
        <v>0</v>
      </c>
    </row>
    <row r="75" spans="1:7" x14ac:dyDescent="0.25">
      <c r="A75" s="119" t="s">
        <v>435</v>
      </c>
      <c r="B75" s="399"/>
      <c r="D75" s="119"/>
    </row>
    <row r="76" spans="1:7" x14ac:dyDescent="0.25">
      <c r="A76" s="119" t="s">
        <v>333</v>
      </c>
      <c r="B76" s="399"/>
      <c r="G76" s="119"/>
    </row>
    <row r="77" spans="1:7" x14ac:dyDescent="0.25">
      <c r="A77" s="119" t="s">
        <v>334</v>
      </c>
      <c r="B77" s="399"/>
      <c r="G77" s="119"/>
    </row>
    <row r="78" spans="1:7" x14ac:dyDescent="0.25">
      <c r="A78" s="119" t="s">
        <v>436</v>
      </c>
      <c r="B78" s="399"/>
    </row>
    <row r="79" spans="1:7" x14ac:dyDescent="0.25">
      <c r="A79" s="119"/>
      <c r="B79" s="62" t="str">
        <f>IF(SUM(B75:B78)=100,"","AVERTISSEMENT!")</f>
        <v>AVERTISSEMENT!</v>
      </c>
    </row>
    <row r="80" spans="1:7" x14ac:dyDescent="0.25">
      <c r="A80" s="180" t="s">
        <v>437</v>
      </c>
      <c r="B80" s="144">
        <f>'Donnees par defaut'!B31*1000*'Donnees par defaut'!B32/100*'Donnees par defaut'!B33/100</f>
        <v>1576.75</v>
      </c>
    </row>
    <row r="81" spans="1:2" x14ac:dyDescent="0.25">
      <c r="A81" s="131" t="s">
        <v>438</v>
      </c>
      <c r="B81" s="68">
        <f>(B75/100*B74)*B80*B64/3.6/1000</f>
        <v>0</v>
      </c>
    </row>
    <row r="83" spans="1:2" x14ac:dyDescent="0.25">
      <c r="A83" s="471" t="s">
        <v>521</v>
      </c>
    </row>
  </sheetData>
  <sheetProtection insertRows="0"/>
  <mergeCells count="2">
    <mergeCell ref="A2:G2"/>
    <mergeCell ref="G39:K40"/>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0" tint="-0.249977111117893"/>
  </sheetPr>
  <dimension ref="A1:M356"/>
  <sheetViews>
    <sheetView topLeftCell="A82" zoomScale="110" zoomScaleNormal="110" zoomScalePageLayoutView="110" workbookViewId="0">
      <selection activeCell="A356" sqref="A356"/>
    </sheetView>
  </sheetViews>
  <sheetFormatPr defaultColWidth="9.140625" defaultRowHeight="15" x14ac:dyDescent="0.25"/>
  <cols>
    <col min="1" max="1" width="41.42578125" style="11" customWidth="1"/>
    <col min="2" max="2" width="12.28515625" style="11" customWidth="1"/>
    <col min="3" max="3" width="9.85546875" style="11" customWidth="1"/>
    <col min="4" max="4" width="9.140625" style="11" customWidth="1"/>
    <col min="5" max="5" width="11.42578125" style="11" customWidth="1"/>
    <col min="6" max="6" width="12.7109375" style="11" customWidth="1"/>
    <col min="7" max="7" width="10.28515625" style="11" customWidth="1"/>
    <col min="8" max="8" width="10.42578125" style="11" customWidth="1"/>
    <col min="9" max="11" width="9.85546875" style="11" customWidth="1"/>
    <col min="12" max="16384" width="9.140625" style="11"/>
  </cols>
  <sheetData>
    <row r="1" spans="1:13" x14ac:dyDescent="0.25">
      <c r="A1" s="59" t="s">
        <v>451</v>
      </c>
    </row>
    <row r="2" spans="1:13" x14ac:dyDescent="0.25">
      <c r="A2" s="8"/>
    </row>
    <row r="3" spans="1:13" ht="60" customHeight="1" x14ac:dyDescent="0.25">
      <c r="A3" s="461" t="s">
        <v>452</v>
      </c>
      <c r="B3" s="462"/>
      <c r="C3" s="462"/>
      <c r="D3" s="462"/>
      <c r="E3" s="462"/>
      <c r="F3" s="463"/>
      <c r="G3" s="99"/>
      <c r="H3" s="99"/>
      <c r="I3" s="99"/>
      <c r="J3" s="99"/>
      <c r="K3" s="99"/>
      <c r="L3" s="99"/>
      <c r="M3" s="99"/>
    </row>
    <row r="4" spans="1:13" x14ac:dyDescent="0.25">
      <c r="A4" s="33"/>
    </row>
    <row r="5" spans="1:13" ht="18" x14ac:dyDescent="0.35">
      <c r="A5" s="12" t="s">
        <v>45</v>
      </c>
      <c r="B5" s="13"/>
    </row>
    <row r="6" spans="1:13" ht="18" x14ac:dyDescent="0.35">
      <c r="A6" s="5" t="s">
        <v>453</v>
      </c>
      <c r="B6" s="138">
        <v>1.7770000000000001E-2</v>
      </c>
    </row>
    <row r="7" spans="1:13" ht="18" x14ac:dyDescent="0.35">
      <c r="A7" s="14" t="s">
        <v>46</v>
      </c>
      <c r="B7" s="139">
        <v>3.12</v>
      </c>
      <c r="H7" s="9"/>
      <c r="I7" s="9"/>
      <c r="J7" s="9"/>
      <c r="K7" s="9"/>
    </row>
    <row r="8" spans="1:13" ht="18" x14ac:dyDescent="0.35">
      <c r="A8" s="14" t="s">
        <v>454</v>
      </c>
      <c r="B8" s="139">
        <v>2.75</v>
      </c>
      <c r="H8" s="9"/>
      <c r="I8" s="9"/>
      <c r="J8" s="9"/>
      <c r="K8" s="9"/>
    </row>
    <row r="9" spans="1:13" ht="18" x14ac:dyDescent="0.35">
      <c r="A9" s="14" t="s">
        <v>47</v>
      </c>
      <c r="B9" s="47">
        <v>298</v>
      </c>
      <c r="H9" s="9"/>
      <c r="I9" s="9"/>
      <c r="J9" s="9"/>
      <c r="K9" s="9"/>
    </row>
    <row r="10" spans="1:13" ht="33" x14ac:dyDescent="0.25">
      <c r="A10" s="13" t="s">
        <v>455</v>
      </c>
      <c r="B10" s="48">
        <v>0.01</v>
      </c>
      <c r="H10" s="9"/>
      <c r="I10" s="21"/>
      <c r="J10" s="21"/>
      <c r="K10" s="21"/>
    </row>
    <row r="11" spans="1:13" ht="36.75" customHeight="1" x14ac:dyDescent="0.25">
      <c r="A11" s="40" t="s">
        <v>456</v>
      </c>
      <c r="B11" s="49">
        <v>7.4999999999999997E-3</v>
      </c>
      <c r="H11" s="9"/>
      <c r="I11" s="21"/>
      <c r="J11" s="21"/>
      <c r="K11" s="21"/>
    </row>
    <row r="12" spans="1:13" ht="38.25" customHeight="1" x14ac:dyDescent="0.25">
      <c r="A12" s="35" t="s">
        <v>457</v>
      </c>
      <c r="B12" s="48">
        <v>0.01</v>
      </c>
      <c r="H12" s="9"/>
      <c r="I12" s="21"/>
      <c r="J12" s="21"/>
      <c r="K12" s="21"/>
    </row>
    <row r="13" spans="1:13" ht="38.25" customHeight="1" x14ac:dyDescent="0.35">
      <c r="A13" s="35" t="s">
        <v>458</v>
      </c>
      <c r="B13" s="50">
        <v>16</v>
      </c>
      <c r="H13" s="9"/>
      <c r="I13" s="21"/>
      <c r="J13" s="21"/>
      <c r="K13" s="21"/>
    </row>
    <row r="14" spans="1:13" ht="18" x14ac:dyDescent="0.35">
      <c r="A14" s="14" t="s">
        <v>459</v>
      </c>
      <c r="B14" s="16">
        <f>2/20*B7</f>
        <v>0.31200000000000006</v>
      </c>
      <c r="H14" s="9"/>
      <c r="I14" s="21"/>
      <c r="J14" s="21"/>
      <c r="K14" s="21"/>
    </row>
    <row r="15" spans="1:13" x14ac:dyDescent="0.25">
      <c r="A15" s="11" t="s">
        <v>460</v>
      </c>
      <c r="B15" s="251">
        <v>0.2</v>
      </c>
      <c r="H15" s="9"/>
      <c r="I15" s="21"/>
      <c r="J15" s="21"/>
      <c r="K15" s="21"/>
    </row>
    <row r="16" spans="1:13" ht="30" x14ac:dyDescent="0.25">
      <c r="A16" s="14" t="s">
        <v>461</v>
      </c>
      <c r="B16" s="251">
        <v>0.13</v>
      </c>
      <c r="H16" s="9"/>
      <c r="I16" s="21"/>
      <c r="J16" s="21"/>
      <c r="K16" s="21"/>
    </row>
    <row r="17" spans="1:8" x14ac:dyDescent="0.25">
      <c r="A17" s="13"/>
      <c r="B17" s="15"/>
    </row>
    <row r="18" spans="1:8" ht="18" x14ac:dyDescent="0.35">
      <c r="A18" s="7" t="s">
        <v>462</v>
      </c>
      <c r="E18" s="464" t="s">
        <v>480</v>
      </c>
      <c r="F18" s="464"/>
      <c r="G18" s="18" t="s">
        <v>121</v>
      </c>
      <c r="H18" s="18" t="s">
        <v>132</v>
      </c>
    </row>
    <row r="19" spans="1:8" x14ac:dyDescent="0.25">
      <c r="A19" s="11" t="s">
        <v>463</v>
      </c>
      <c r="B19" s="51">
        <v>0.67249999999999999</v>
      </c>
      <c r="E19" s="457" t="s">
        <v>219</v>
      </c>
      <c r="F19" s="457"/>
      <c r="G19" s="51">
        <v>268</v>
      </c>
      <c r="H19" s="3">
        <f t="shared" ref="H19:H24" si="0">G19*44/12</f>
        <v>982.66666666666663</v>
      </c>
    </row>
    <row r="20" spans="1:8" ht="18" x14ac:dyDescent="0.35">
      <c r="A20" t="s">
        <v>465</v>
      </c>
      <c r="B20" s="51">
        <v>13.1</v>
      </c>
      <c r="E20" s="457" t="s">
        <v>481</v>
      </c>
      <c r="F20" s="457"/>
      <c r="G20" s="51">
        <v>128</v>
      </c>
      <c r="H20" s="3">
        <f t="shared" si="0"/>
        <v>469.33333333333331</v>
      </c>
    </row>
    <row r="21" spans="1:8" ht="18" x14ac:dyDescent="0.35">
      <c r="A21" s="11" t="s">
        <v>38</v>
      </c>
      <c r="B21" s="51">
        <v>22.25</v>
      </c>
      <c r="E21" s="465" t="s">
        <v>482</v>
      </c>
      <c r="F21" s="457"/>
      <c r="G21" s="51">
        <v>46</v>
      </c>
      <c r="H21" s="3">
        <f t="shared" si="0"/>
        <v>168.66666666666666</v>
      </c>
    </row>
    <row r="22" spans="1:8" x14ac:dyDescent="0.25">
      <c r="A22" s="11" t="s">
        <v>464</v>
      </c>
      <c r="B22" s="51">
        <v>0.22</v>
      </c>
      <c r="E22" s="457" t="s">
        <v>208</v>
      </c>
      <c r="F22" s="457"/>
      <c r="G22" s="51">
        <v>5</v>
      </c>
      <c r="H22" s="3">
        <f t="shared" si="0"/>
        <v>18.333333333333332</v>
      </c>
    </row>
    <row r="23" spans="1:8" ht="18" x14ac:dyDescent="0.35">
      <c r="A23" s="10" t="s">
        <v>466</v>
      </c>
      <c r="B23" s="52">
        <v>7.8</v>
      </c>
      <c r="E23" s="457" t="s">
        <v>483</v>
      </c>
      <c r="F23" s="457"/>
      <c r="G23" s="55">
        <v>75</v>
      </c>
      <c r="H23" s="3">
        <f t="shared" si="0"/>
        <v>275</v>
      </c>
    </row>
    <row r="24" spans="1:8" ht="18" x14ac:dyDescent="0.35">
      <c r="A24" s="10" t="s">
        <v>467</v>
      </c>
      <c r="B24" s="53">
        <v>15</v>
      </c>
      <c r="E24" s="466" t="s">
        <v>210</v>
      </c>
      <c r="F24" s="466"/>
      <c r="G24" s="51">
        <v>8.5</v>
      </c>
      <c r="H24" s="3">
        <f t="shared" si="0"/>
        <v>31.166666666666668</v>
      </c>
    </row>
    <row r="25" spans="1:8" ht="18" x14ac:dyDescent="0.35">
      <c r="A25" s="10" t="s">
        <v>408</v>
      </c>
      <c r="B25" s="53">
        <v>12</v>
      </c>
    </row>
    <row r="26" spans="1:8" ht="18" x14ac:dyDescent="0.35">
      <c r="A26" s="10" t="s">
        <v>468</v>
      </c>
      <c r="B26" s="52">
        <v>1.2</v>
      </c>
    </row>
    <row r="27" spans="1:8" x14ac:dyDescent="0.25">
      <c r="A27" s="5" t="s">
        <v>469</v>
      </c>
      <c r="B27" s="53">
        <v>40</v>
      </c>
    </row>
    <row r="28" spans="1:8" ht="18" x14ac:dyDescent="0.35">
      <c r="A28" s="10" t="s">
        <v>470</v>
      </c>
      <c r="B28" s="52">
        <v>45.1</v>
      </c>
      <c r="G28"/>
    </row>
    <row r="29" spans="1:8" ht="45" x14ac:dyDescent="0.25">
      <c r="A29" s="5" t="s">
        <v>472</v>
      </c>
      <c r="B29" s="53">
        <v>2200</v>
      </c>
    </row>
    <row r="30" spans="1:8" ht="33" x14ac:dyDescent="0.35">
      <c r="A30" s="5" t="s">
        <v>414</v>
      </c>
      <c r="B30" s="54">
        <v>0.17699999999999999</v>
      </c>
    </row>
    <row r="31" spans="1:8" ht="15.75" customHeight="1" x14ac:dyDescent="0.25">
      <c r="A31" s="180" t="s">
        <v>473</v>
      </c>
      <c r="B31" s="182">
        <v>5.3</v>
      </c>
    </row>
    <row r="32" spans="1:8" x14ac:dyDescent="0.25">
      <c r="A32" s="180" t="s">
        <v>474</v>
      </c>
      <c r="B32" s="183">
        <v>85</v>
      </c>
    </row>
    <row r="33" spans="1:12" x14ac:dyDescent="0.25">
      <c r="A33" s="180" t="s">
        <v>475</v>
      </c>
      <c r="B33" s="183">
        <v>35</v>
      </c>
    </row>
    <row r="34" spans="1:12" ht="30" x14ac:dyDescent="0.25">
      <c r="A34" s="180" t="s">
        <v>476</v>
      </c>
      <c r="B34" s="184">
        <v>0.08</v>
      </c>
    </row>
    <row r="35" spans="1:12" x14ac:dyDescent="0.25">
      <c r="A35" s="152" t="s">
        <v>477</v>
      </c>
      <c r="B35" s="185">
        <v>0.8</v>
      </c>
    </row>
    <row r="36" spans="1:12" x14ac:dyDescent="0.25">
      <c r="A36" s="180" t="s">
        <v>478</v>
      </c>
      <c r="B36" s="185">
        <v>0.25</v>
      </c>
    </row>
    <row r="37" spans="1:12" x14ac:dyDescent="0.25">
      <c r="A37" s="152" t="s">
        <v>479</v>
      </c>
      <c r="B37" s="185">
        <v>0.89</v>
      </c>
    </row>
    <row r="38" spans="1:12" x14ac:dyDescent="0.25">
      <c r="A38" s="5"/>
      <c r="B38" s="32"/>
    </row>
    <row r="39" spans="1:12" ht="64.5" customHeight="1" x14ac:dyDescent="0.35">
      <c r="A39" s="17" t="s">
        <v>182</v>
      </c>
      <c r="B39" s="18" t="s">
        <v>11</v>
      </c>
      <c r="C39" s="36" t="s">
        <v>50</v>
      </c>
      <c r="D39" s="36" t="s">
        <v>51</v>
      </c>
      <c r="E39" s="36" t="s">
        <v>52</v>
      </c>
      <c r="F39" s="37" t="s">
        <v>484</v>
      </c>
      <c r="G39" s="19" t="s">
        <v>485</v>
      </c>
      <c r="I39" s="19" t="s">
        <v>486</v>
      </c>
      <c r="J39" s="19" t="s">
        <v>487</v>
      </c>
      <c r="K39" s="19" t="s">
        <v>488</v>
      </c>
      <c r="L39" s="37" t="s">
        <v>489</v>
      </c>
    </row>
    <row r="40" spans="1:12" x14ac:dyDescent="0.25">
      <c r="A40" s="11" t="s">
        <v>6</v>
      </c>
      <c r="B40" s="51">
        <v>34</v>
      </c>
      <c r="C40" s="51"/>
      <c r="D40" s="51"/>
      <c r="E40" s="51"/>
      <c r="F40" s="51">
        <v>10</v>
      </c>
      <c r="G40" s="53">
        <v>2380</v>
      </c>
      <c r="H40" s="2"/>
      <c r="I40" s="2">
        <f>1000*B40/100*'Donnees par defaut'!B$10*1.57</f>
        <v>5.3380000000000001</v>
      </c>
      <c r="J40" s="2">
        <f>(1000*B40/100)*((B$62/100*B$11)+(F40/100*B$12))*1.57</f>
        <v>1.73485</v>
      </c>
      <c r="K40" s="2">
        <f>SUM(I40:J40)</f>
        <v>7.0728499999999999</v>
      </c>
      <c r="L40" s="30">
        <f>K40*B$9</f>
        <v>2107.7093</v>
      </c>
    </row>
    <row r="41" spans="1:12" x14ac:dyDescent="0.25">
      <c r="A41" t="s">
        <v>2</v>
      </c>
      <c r="B41" s="51">
        <v>21</v>
      </c>
      <c r="C41" s="51"/>
      <c r="D41" s="51"/>
      <c r="E41" s="51"/>
      <c r="F41" s="51">
        <v>10</v>
      </c>
      <c r="G41" s="53">
        <v>340</v>
      </c>
      <c r="H41" s="2"/>
      <c r="I41" s="2">
        <f>1000*B41/100*'Donnees par defaut'!B$10*1.57</f>
        <v>3.2970000000000002</v>
      </c>
      <c r="J41" s="2">
        <f>(1000*B41/100)*((B$62/100*B$11)+(F41/100*B$12))*1.57</f>
        <v>1.0715250000000001</v>
      </c>
      <c r="K41" s="2">
        <f>SUM(I41:J41)</f>
        <v>4.368525</v>
      </c>
      <c r="L41" s="30">
        <f>K41*B$9</f>
        <v>1301.8204499999999</v>
      </c>
    </row>
    <row r="42" spans="1:12" x14ac:dyDescent="0.25">
      <c r="A42" s="11" t="s">
        <v>7</v>
      </c>
      <c r="B42" s="51">
        <v>18</v>
      </c>
      <c r="C42" s="51"/>
      <c r="D42" s="51"/>
      <c r="E42" s="51">
        <v>45</v>
      </c>
      <c r="F42" s="51">
        <v>10</v>
      </c>
      <c r="G42" s="53">
        <v>460</v>
      </c>
      <c r="H42" s="2"/>
      <c r="I42" s="2">
        <f>1000*B42/100*'Donnees par defaut'!B$10*1.57</f>
        <v>2.8260000000000001</v>
      </c>
      <c r="J42" s="2">
        <f>(1000*B42/100)*((B$62/100*B$11)+(F42/100*B$12))*1.57</f>
        <v>0.91844999999999999</v>
      </c>
      <c r="K42" s="2">
        <f>SUM(I42:J42)</f>
        <v>3.7444500000000001</v>
      </c>
      <c r="L42" s="30">
        <f>K42*B$9</f>
        <v>1115.8461</v>
      </c>
    </row>
    <row r="43" spans="1:12" x14ac:dyDescent="0.25">
      <c r="A43" s="11" t="s">
        <v>3</v>
      </c>
      <c r="B43" s="51">
        <v>46</v>
      </c>
      <c r="C43" s="51"/>
      <c r="D43" s="51"/>
      <c r="E43" s="51"/>
      <c r="F43" s="51">
        <v>10</v>
      </c>
      <c r="G43" s="53">
        <v>1340</v>
      </c>
      <c r="H43" s="2"/>
      <c r="I43" s="2">
        <f>1000*B43/100*'Donnees par defaut'!B$10*1.57</f>
        <v>7.2220000000000013</v>
      </c>
      <c r="J43" s="2">
        <f>(1000*B43/100)*((B$62/100*B$11)+(F43/100*B$12))*1.57</f>
        <v>2.3471500000000001</v>
      </c>
      <c r="K43" s="2">
        <f>SUM(I43:J43)</f>
        <v>9.5691500000000005</v>
      </c>
      <c r="L43" s="30">
        <f>K43*B$9</f>
        <v>2851.6067000000003</v>
      </c>
    </row>
    <row r="44" spans="1:12" x14ac:dyDescent="0.25">
      <c r="A44" s="11" t="s">
        <v>72</v>
      </c>
      <c r="B44" s="51">
        <v>26</v>
      </c>
      <c r="C44" s="51"/>
      <c r="D44" s="51"/>
      <c r="E44" s="51"/>
      <c r="F44" s="51">
        <v>10</v>
      </c>
      <c r="G44" s="53">
        <v>1040</v>
      </c>
      <c r="H44" s="2"/>
      <c r="I44" s="2">
        <f>1000*B44/100*'Donnees par defaut'!B$10*1.57</f>
        <v>4.0820000000000007</v>
      </c>
      <c r="J44" s="2">
        <f>(1000*B44/100)*((B$62/100*B$11)+(F44/100*B$12))*1.57</f>
        <v>1.3266500000000001</v>
      </c>
      <c r="K44" s="2">
        <f>SUM(I44:J44)</f>
        <v>5.4086500000000006</v>
      </c>
      <c r="L44" s="30">
        <f>K44*B$9</f>
        <v>1611.7777000000001</v>
      </c>
    </row>
    <row r="45" spans="1:12" x14ac:dyDescent="0.25">
      <c r="A45" s="11" t="s">
        <v>28</v>
      </c>
      <c r="B45" s="42"/>
      <c r="C45" s="51">
        <v>27</v>
      </c>
      <c r="D45" s="51"/>
      <c r="E45" s="51"/>
      <c r="F45" s="51"/>
      <c r="G45" s="53">
        <v>200</v>
      </c>
      <c r="H45" s="2"/>
      <c r="I45" s="2"/>
      <c r="J45" s="2"/>
      <c r="K45" s="2"/>
      <c r="L45" s="30"/>
    </row>
    <row r="46" spans="1:12" x14ac:dyDescent="0.25">
      <c r="A46" s="11" t="s">
        <v>5</v>
      </c>
      <c r="B46" s="42"/>
      <c r="C46" s="51"/>
      <c r="D46" s="51">
        <v>60</v>
      </c>
      <c r="E46" s="51"/>
      <c r="F46" s="51"/>
      <c r="G46" s="53">
        <v>200</v>
      </c>
      <c r="H46" s="2"/>
      <c r="I46" s="2"/>
      <c r="J46" s="2"/>
      <c r="K46" s="2"/>
      <c r="L46" s="30"/>
    </row>
    <row r="47" spans="1:12" x14ac:dyDescent="0.25">
      <c r="A47" s="11" t="s">
        <v>4</v>
      </c>
      <c r="B47" s="42"/>
      <c r="C47" s="51"/>
      <c r="D47" s="51"/>
      <c r="E47" s="51">
        <v>34</v>
      </c>
      <c r="F47" s="51"/>
      <c r="G47" s="53">
        <v>44</v>
      </c>
      <c r="H47" s="2"/>
      <c r="I47" s="2"/>
      <c r="J47" s="2"/>
      <c r="K47" s="2"/>
      <c r="L47" s="30"/>
    </row>
    <row r="48" spans="1:12" x14ac:dyDescent="0.25">
      <c r="A48" s="11" t="s">
        <v>36</v>
      </c>
      <c r="B48" s="42"/>
      <c r="C48" s="51"/>
      <c r="D48" s="51"/>
      <c r="E48" s="51">
        <v>45</v>
      </c>
      <c r="F48" s="51"/>
      <c r="G48" s="53">
        <v>170</v>
      </c>
      <c r="H48" s="2"/>
      <c r="I48" s="2"/>
      <c r="J48" s="2"/>
      <c r="K48" s="2"/>
      <c r="L48" s="30"/>
    </row>
    <row r="49" spans="1:12" x14ac:dyDescent="0.25">
      <c r="A49" s="11" t="s">
        <v>37</v>
      </c>
      <c r="B49" s="42"/>
      <c r="C49" s="51">
        <v>15</v>
      </c>
      <c r="D49" s="51"/>
      <c r="E49" s="51"/>
      <c r="F49" s="51"/>
      <c r="G49" s="53">
        <v>547</v>
      </c>
      <c r="H49" s="2"/>
      <c r="I49" s="2"/>
      <c r="J49" s="2"/>
      <c r="K49" s="2"/>
      <c r="L49" s="30"/>
    </row>
    <row r="50" spans="1:12" s="279" customFormat="1" x14ac:dyDescent="0.25">
      <c r="A50" s="295">
        <f>'5. Engrais defini par l''utilisa'!C6</f>
        <v>0</v>
      </c>
      <c r="B50" s="296">
        <f>'5. Engrais defini par l''utilisa'!C11</f>
        <v>0</v>
      </c>
      <c r="C50" s="296"/>
      <c r="D50" s="296">
        <f>'5. Engrais defini par l''utilisa'!C15</f>
        <v>0</v>
      </c>
      <c r="E50" s="296">
        <f>'5. Engrais defini par l''utilisa'!C13</f>
        <v>0</v>
      </c>
      <c r="F50" s="237">
        <v>10</v>
      </c>
      <c r="G50" s="212">
        <f>'5. Engrais defini par l''utilisa'!C34</f>
        <v>0</v>
      </c>
      <c r="H50" s="234"/>
      <c r="I50" s="235">
        <f>1000*B50/100*'Donnees par defaut'!B$10*1.57</f>
        <v>0</v>
      </c>
      <c r="J50" s="235">
        <f t="shared" ref="J50:J59" si="1">(1000*B50/100)*((B$62/100*B$11)+(F50/100*B$12))*1.57</f>
        <v>0</v>
      </c>
      <c r="K50" s="235">
        <f t="shared" ref="K50:K59" si="2">SUM(I50:J50)</f>
        <v>0</v>
      </c>
      <c r="L50" s="236">
        <f t="shared" ref="L50:L59" si="3">K50*B$9</f>
        <v>0</v>
      </c>
    </row>
    <row r="51" spans="1:12" s="279" customFormat="1" x14ac:dyDescent="0.25">
      <c r="A51" s="295">
        <f>'5. Engrais defini par l''utilisa'!C37</f>
        <v>0</v>
      </c>
      <c r="B51" s="298">
        <f>'5. Engrais defini par l''utilisa'!C42</f>
        <v>0</v>
      </c>
      <c r="C51" s="298"/>
      <c r="D51" s="298">
        <f>'5. Engrais defini par l''utilisa'!C46</f>
        <v>0</v>
      </c>
      <c r="E51" s="298">
        <f>'5. Engrais defini par l''utilisa'!C44</f>
        <v>0</v>
      </c>
      <c r="F51" s="237">
        <v>10</v>
      </c>
      <c r="G51" s="212">
        <f>'5. Engrais defini par l''utilisa'!C60</f>
        <v>0</v>
      </c>
      <c r="H51" s="2"/>
      <c r="I51" s="235">
        <f>1000*B51/100*'Donnees par defaut'!B$10*1.57</f>
        <v>0</v>
      </c>
      <c r="J51" s="235">
        <f t="shared" si="1"/>
        <v>0</v>
      </c>
      <c r="K51" s="235">
        <f t="shared" si="2"/>
        <v>0</v>
      </c>
      <c r="L51" s="236">
        <f t="shared" si="3"/>
        <v>0</v>
      </c>
    </row>
    <row r="52" spans="1:12" s="279" customFormat="1" x14ac:dyDescent="0.25">
      <c r="A52" s="295">
        <f>'5. Engrais defini par l''utilisa'!C63</f>
        <v>0</v>
      </c>
      <c r="B52" s="298">
        <f>'5. Engrais defini par l''utilisa'!C68</f>
        <v>0</v>
      </c>
      <c r="C52" s="297"/>
      <c r="D52" s="298">
        <f>'5. Engrais defini par l''utilisa'!C72</f>
        <v>0</v>
      </c>
      <c r="E52" s="298">
        <f>'5. Engrais defini par l''utilisa'!C70</f>
        <v>0</v>
      </c>
      <c r="F52" s="237">
        <v>10</v>
      </c>
      <c r="G52" s="212">
        <f>'5. Engrais defini par l''utilisa'!C86</f>
        <v>0</v>
      </c>
      <c r="H52" s="2"/>
      <c r="I52" s="235">
        <f>1000*B52/100*'Donnees par defaut'!B$10*1.57</f>
        <v>0</v>
      </c>
      <c r="J52" s="235">
        <f t="shared" si="1"/>
        <v>0</v>
      </c>
      <c r="K52" s="235">
        <f t="shared" si="2"/>
        <v>0</v>
      </c>
      <c r="L52" s="236">
        <f t="shared" si="3"/>
        <v>0</v>
      </c>
    </row>
    <row r="53" spans="1:12" s="279" customFormat="1" x14ac:dyDescent="0.25">
      <c r="A53" s="295">
        <f>'5. Engrais defini par l''utilisa'!C89</f>
        <v>0</v>
      </c>
      <c r="B53" s="298">
        <f>'5. Engrais defini par l''utilisa'!C94</f>
        <v>0</v>
      </c>
      <c r="C53" s="297"/>
      <c r="D53" s="298">
        <f>'5. Engrais defini par l''utilisa'!C98</f>
        <v>0</v>
      </c>
      <c r="E53" s="298">
        <f>'5. Engrais defini par l''utilisa'!C96</f>
        <v>0</v>
      </c>
      <c r="F53" s="237">
        <v>10</v>
      </c>
      <c r="G53" s="212">
        <f>'5. Engrais defini par l''utilisa'!C112</f>
        <v>0</v>
      </c>
      <c r="H53" s="2"/>
      <c r="I53" s="235">
        <f>1000*B53/100*'Donnees par defaut'!B$10*1.57</f>
        <v>0</v>
      </c>
      <c r="J53" s="235">
        <f t="shared" si="1"/>
        <v>0</v>
      </c>
      <c r="K53" s="235">
        <f t="shared" si="2"/>
        <v>0</v>
      </c>
      <c r="L53" s="236">
        <f t="shared" si="3"/>
        <v>0</v>
      </c>
    </row>
    <row r="54" spans="1:12" s="279" customFormat="1" x14ac:dyDescent="0.25">
      <c r="A54" s="295">
        <f>'5. Engrais defini par l''utilisa'!C115</f>
        <v>0</v>
      </c>
      <c r="B54" s="298">
        <f>'5. Engrais defini par l''utilisa'!C120</f>
        <v>0</v>
      </c>
      <c r="C54" s="297"/>
      <c r="D54" s="298">
        <f>'5. Engrais defini par l''utilisa'!C124</f>
        <v>0</v>
      </c>
      <c r="E54" s="298">
        <f>'5. Engrais defini par l''utilisa'!C122</f>
        <v>0</v>
      </c>
      <c r="F54" s="237">
        <v>10</v>
      </c>
      <c r="G54" s="212">
        <f>'5. Engrais defini par l''utilisa'!C138</f>
        <v>0</v>
      </c>
      <c r="H54" s="2"/>
      <c r="I54" s="235">
        <f>1000*B54/100*'Donnees par defaut'!B$10*1.57</f>
        <v>0</v>
      </c>
      <c r="J54" s="235">
        <f t="shared" si="1"/>
        <v>0</v>
      </c>
      <c r="K54" s="235">
        <f t="shared" si="2"/>
        <v>0</v>
      </c>
      <c r="L54" s="236">
        <f t="shared" si="3"/>
        <v>0</v>
      </c>
    </row>
    <row r="55" spans="1:12" x14ac:dyDescent="0.25">
      <c r="A55" s="295" t="str">
        <f>'5. Engrais defini par l''utilisa'!C141</f>
        <v>Défini par l'utilisateur 6</v>
      </c>
      <c r="B55" s="298">
        <f>'5. Engrais defini par l''utilisa'!C146</f>
        <v>3</v>
      </c>
      <c r="C55" s="296"/>
      <c r="D55" s="298">
        <f>'5. Engrais defini par l''utilisa'!C150</f>
        <v>3</v>
      </c>
      <c r="E55" s="298">
        <f>'5. Engrais defini par l''utilisa'!C148</f>
        <v>3</v>
      </c>
      <c r="F55" s="237">
        <v>10</v>
      </c>
      <c r="G55" s="212">
        <f>'5. Engrais defini par l''utilisa'!C164</f>
        <v>212.5</v>
      </c>
      <c r="H55" s="234"/>
      <c r="I55" s="235">
        <f>1000*B55/100*'Donnees par defaut'!B$10*1.57</f>
        <v>0.47099999999999997</v>
      </c>
      <c r="J55" s="235">
        <f t="shared" si="1"/>
        <v>0.15307499999999999</v>
      </c>
      <c r="K55" s="235">
        <f t="shared" si="2"/>
        <v>0.62407499999999994</v>
      </c>
      <c r="L55" s="236">
        <f t="shared" si="3"/>
        <v>185.97434999999999</v>
      </c>
    </row>
    <row r="56" spans="1:12" x14ac:dyDescent="0.25">
      <c r="A56" s="295" t="str">
        <f>'5. Engrais defini par l''utilisa'!C167</f>
        <v>Défini par l'utilisateur 7</v>
      </c>
      <c r="B56" s="298">
        <f>'5. Engrais defini par l''utilisa'!C172</f>
        <v>3</v>
      </c>
      <c r="C56" s="297"/>
      <c r="D56" s="298">
        <f>'5. Engrais defini par l''utilisa'!C176</f>
        <v>3</v>
      </c>
      <c r="E56" s="298">
        <f>'5. Engrais defini par l''utilisa'!C174</f>
        <v>3</v>
      </c>
      <c r="F56" s="237">
        <v>10</v>
      </c>
      <c r="G56" s="212">
        <f>'5. Engrais defini par l''utilisa'!C190</f>
        <v>212.5</v>
      </c>
      <c r="H56" s="2"/>
      <c r="I56" s="235">
        <f>1000*B56/100*'Donnees par defaut'!B$10*1.57</f>
        <v>0.47099999999999997</v>
      </c>
      <c r="J56" s="235">
        <f t="shared" si="1"/>
        <v>0.15307499999999999</v>
      </c>
      <c r="K56" s="235">
        <f t="shared" si="2"/>
        <v>0.62407499999999994</v>
      </c>
      <c r="L56" s="236">
        <f t="shared" si="3"/>
        <v>185.97434999999999</v>
      </c>
    </row>
    <row r="57" spans="1:12" x14ac:dyDescent="0.25">
      <c r="A57" s="295" t="str">
        <f>'5. Engrais defini par l''utilisa'!C193</f>
        <v>Défini par l'utilisateur  8</v>
      </c>
      <c r="B57" s="298">
        <f>'5. Engrais defini par l''utilisa'!C198</f>
        <v>3</v>
      </c>
      <c r="C57" s="297"/>
      <c r="D57" s="298">
        <f>'5. Engrais defini par l''utilisa'!C202</f>
        <v>3</v>
      </c>
      <c r="E57" s="298">
        <f>'5. Engrais defini par l''utilisa'!C200</f>
        <v>3</v>
      </c>
      <c r="F57" s="237">
        <v>10</v>
      </c>
      <c r="G57" s="212">
        <f>'5. Engrais defini par l''utilisa'!C216</f>
        <v>212.5</v>
      </c>
      <c r="H57" s="2"/>
      <c r="I57" s="235">
        <f>1000*B57/100*'Donnees par defaut'!B$10*1.57</f>
        <v>0.47099999999999997</v>
      </c>
      <c r="J57" s="235">
        <f t="shared" si="1"/>
        <v>0.15307499999999999</v>
      </c>
      <c r="K57" s="235">
        <f t="shared" si="2"/>
        <v>0.62407499999999994</v>
      </c>
      <c r="L57" s="236">
        <f t="shared" si="3"/>
        <v>185.97434999999999</v>
      </c>
    </row>
    <row r="58" spans="1:12" x14ac:dyDescent="0.25">
      <c r="A58" s="295" t="str">
        <f>'5. Engrais defini par l''utilisa'!C219</f>
        <v>Défini par l'utilisateur 9</v>
      </c>
      <c r="B58" s="298">
        <f>'5. Engrais defini par l''utilisa'!C224</f>
        <v>3</v>
      </c>
      <c r="C58" s="297"/>
      <c r="D58" s="298">
        <f>'5. Engrais defini par l''utilisa'!C228</f>
        <v>3</v>
      </c>
      <c r="E58" s="298">
        <f>'5. Engrais defini par l''utilisa'!C226</f>
        <v>3</v>
      </c>
      <c r="F58" s="237">
        <v>10</v>
      </c>
      <c r="G58" s="212">
        <f>'5. Engrais defini par l''utilisa'!C242</f>
        <v>212.5</v>
      </c>
      <c r="H58" s="2"/>
      <c r="I58" s="235">
        <f>1000*B58/100*'Donnees par defaut'!B$10*1.57</f>
        <v>0.47099999999999997</v>
      </c>
      <c r="J58" s="235">
        <f t="shared" si="1"/>
        <v>0.15307499999999999</v>
      </c>
      <c r="K58" s="235">
        <f t="shared" si="2"/>
        <v>0.62407499999999994</v>
      </c>
      <c r="L58" s="236">
        <f t="shared" si="3"/>
        <v>185.97434999999999</v>
      </c>
    </row>
    <row r="59" spans="1:12" x14ac:dyDescent="0.25">
      <c r="A59" s="295" t="str">
        <f>'5. Engrais defini par l''utilisa'!C245</f>
        <v>Défini par l'utilisateur  10</v>
      </c>
      <c r="B59" s="298">
        <f>'5. Engrais defini par l''utilisa'!C250</f>
        <v>3</v>
      </c>
      <c r="C59" s="297"/>
      <c r="D59" s="298">
        <f>'5. Engrais defini par l''utilisa'!C254</f>
        <v>3</v>
      </c>
      <c r="E59" s="298">
        <f>'5. Engrais defini par l''utilisa'!C252</f>
        <v>3</v>
      </c>
      <c r="F59" s="237">
        <v>10</v>
      </c>
      <c r="G59" s="212">
        <f>'5. Engrais defini par l''utilisa'!C268</f>
        <v>212.5</v>
      </c>
      <c r="H59" s="2"/>
      <c r="I59" s="235">
        <f>1000*B59/100*'Donnees par defaut'!B$10*1.57</f>
        <v>0.47099999999999997</v>
      </c>
      <c r="J59" s="235">
        <f t="shared" si="1"/>
        <v>0.15307499999999999</v>
      </c>
      <c r="K59" s="235">
        <f t="shared" si="2"/>
        <v>0.62407499999999994</v>
      </c>
      <c r="L59" s="236">
        <f t="shared" si="3"/>
        <v>185.97434999999999</v>
      </c>
    </row>
    <row r="60" spans="1:12" x14ac:dyDescent="0.25">
      <c r="A60" s="11" t="s">
        <v>331</v>
      </c>
      <c r="B60" s="51">
        <v>0.32</v>
      </c>
      <c r="C60" s="51"/>
      <c r="D60" s="51"/>
      <c r="E60" s="51"/>
      <c r="F60" s="51">
        <v>20</v>
      </c>
      <c r="G60" s="51"/>
      <c r="H60" s="2"/>
      <c r="I60" s="2"/>
      <c r="J60" s="2"/>
      <c r="K60" s="2"/>
      <c r="L60" s="30"/>
    </row>
    <row r="61" spans="1:12" x14ac:dyDescent="0.25">
      <c r="A61" s="11" t="s">
        <v>324</v>
      </c>
      <c r="B61" s="51">
        <v>4.4999999999999998E-2</v>
      </c>
      <c r="C61" s="51"/>
      <c r="D61" s="51"/>
      <c r="E61" s="51"/>
      <c r="F61" s="51">
        <v>20</v>
      </c>
      <c r="G61" s="51"/>
      <c r="H61" s="2"/>
      <c r="I61" s="2"/>
      <c r="J61" s="2"/>
      <c r="K61" s="2"/>
      <c r="L61" s="30"/>
    </row>
    <row r="62" spans="1:12" x14ac:dyDescent="0.25">
      <c r="A62" t="s">
        <v>490</v>
      </c>
      <c r="B62" s="51">
        <v>30</v>
      </c>
      <c r="C62" s="51"/>
      <c r="D62" s="42"/>
      <c r="E62" s="42"/>
      <c r="F62" s="42"/>
      <c r="G62" s="42"/>
    </row>
    <row r="63" spans="1:12" x14ac:dyDescent="0.25">
      <c r="B63" s="6"/>
    </row>
    <row r="64" spans="1:12" x14ac:dyDescent="0.25">
      <c r="A64" s="186" t="s">
        <v>491</v>
      </c>
      <c r="B64"/>
      <c r="C64"/>
    </row>
    <row r="65" spans="1:6" x14ac:dyDescent="0.25">
      <c r="A65"/>
      <c r="B65"/>
      <c r="C65"/>
    </row>
    <row r="66" spans="1:6" x14ac:dyDescent="0.25">
      <c r="A66"/>
      <c r="B66" s="36" t="s">
        <v>108</v>
      </c>
      <c r="C66" s="460" t="s">
        <v>492</v>
      </c>
      <c r="D66" s="460"/>
    </row>
    <row r="67" spans="1:6" x14ac:dyDescent="0.25">
      <c r="A67" t="s">
        <v>266</v>
      </c>
      <c r="B67" s="187">
        <v>3.3</v>
      </c>
      <c r="C67" s="457">
        <f>IF('5. Engrais defini par l''utilisa'!E11="Y",B67,)</f>
        <v>0</v>
      </c>
      <c r="D67" s="457"/>
    </row>
    <row r="68" spans="1:6" x14ac:dyDescent="0.25">
      <c r="A68" t="s">
        <v>493</v>
      </c>
      <c r="B68">
        <v>8.5</v>
      </c>
      <c r="C68" s="457">
        <f>IF('5. Engrais defini par l''utilisa'!F11="Y",B68,)</f>
        <v>0</v>
      </c>
      <c r="D68" s="457"/>
    </row>
    <row r="69" spans="1:6" x14ac:dyDescent="0.25">
      <c r="A69" t="s">
        <v>270</v>
      </c>
      <c r="B69">
        <v>2.7</v>
      </c>
      <c r="C69" s="457">
        <f>IF('5. Engrais defini par l''utilisa'!G11="Y",B69,)</f>
        <v>0</v>
      </c>
      <c r="D69" s="457"/>
    </row>
    <row r="70" spans="1:6" x14ac:dyDescent="0.25">
      <c r="A70" t="s">
        <v>494</v>
      </c>
      <c r="B70">
        <v>1</v>
      </c>
      <c r="C70" s="457">
        <f>IF('5. Engrais defini par l''utilisa'!H11="Y",B70,)</f>
        <v>0</v>
      </c>
      <c r="D70" s="457"/>
    </row>
    <row r="71" spans="1:6" x14ac:dyDescent="0.25">
      <c r="A71" t="s">
        <v>495</v>
      </c>
      <c r="B71">
        <v>7</v>
      </c>
      <c r="C71" s="457">
        <f>IF('5. Engrais defini par l''utilisa'!I11="Y",B71,)</f>
        <v>0</v>
      </c>
      <c r="D71" s="457"/>
    </row>
    <row r="72" spans="1:6" x14ac:dyDescent="0.25">
      <c r="A72" t="s">
        <v>503</v>
      </c>
      <c r="B72">
        <f>AVERAGE(B67:B71)</f>
        <v>4.5</v>
      </c>
      <c r="C72" s="457">
        <f>SUM(C67:D71)</f>
        <v>0</v>
      </c>
      <c r="D72" s="457"/>
    </row>
    <row r="73" spans="1:6" x14ac:dyDescent="0.25">
      <c r="A73"/>
      <c r="B73"/>
      <c r="C73" s="459">
        <f>IF(C72=0, B72, C72)</f>
        <v>4.5</v>
      </c>
      <c r="D73" s="459"/>
      <c r="F73" s="257"/>
    </row>
    <row r="74" spans="1:6" x14ac:dyDescent="0.25">
      <c r="A74"/>
      <c r="B74"/>
      <c r="C74" s="458"/>
      <c r="D74" s="458"/>
    </row>
    <row r="75" spans="1:6" x14ac:dyDescent="0.25">
      <c r="A75" t="s">
        <v>496</v>
      </c>
      <c r="B75">
        <v>2.7</v>
      </c>
      <c r="C75" s="457">
        <f>IF('5. Engrais defini par l''utilisa'!E13="Y",B75,)</f>
        <v>0</v>
      </c>
      <c r="D75" s="457"/>
    </row>
    <row r="76" spans="1:6" x14ac:dyDescent="0.25">
      <c r="A76" t="s">
        <v>497</v>
      </c>
      <c r="B76">
        <v>2</v>
      </c>
      <c r="C76" s="457">
        <f>IF('5. Engrais defini par l''utilisa'!F13="Y",B76,)</f>
        <v>0</v>
      </c>
      <c r="D76" s="457"/>
    </row>
    <row r="77" spans="1:6" x14ac:dyDescent="0.25">
      <c r="A77" t="s">
        <v>498</v>
      </c>
      <c r="B77">
        <v>0.2</v>
      </c>
      <c r="C77" s="457">
        <f>IF('5. Engrais defini par l''utilisa'!G13="Y",B77,)</f>
        <v>0</v>
      </c>
      <c r="D77" s="457"/>
    </row>
    <row r="78" spans="1:6" x14ac:dyDescent="0.25">
      <c r="A78" t="s">
        <v>502</v>
      </c>
      <c r="B78" s="187">
        <f>AVERAGE(B75:B77)</f>
        <v>1.6333333333333335</v>
      </c>
      <c r="C78" s="457">
        <f>SUM(C75:D77)</f>
        <v>0</v>
      </c>
      <c r="D78" s="457"/>
    </row>
    <row r="79" spans="1:6" x14ac:dyDescent="0.25">
      <c r="A79"/>
      <c r="B79"/>
      <c r="C79" s="459">
        <f>IF(C78=0, B78, C78)</f>
        <v>1.6333333333333335</v>
      </c>
      <c r="D79" s="459"/>
    </row>
    <row r="80" spans="1:6" x14ac:dyDescent="0.25">
      <c r="A80"/>
      <c r="B80"/>
      <c r="C80" s="458"/>
      <c r="D80" s="458"/>
    </row>
    <row r="81" spans="1:4" x14ac:dyDescent="0.25">
      <c r="A81" t="s">
        <v>500</v>
      </c>
      <c r="B81">
        <v>0.5</v>
      </c>
      <c r="C81" s="457">
        <f>IF('5. Engrais defini par l''utilisa'!E$15="Y",B81,)</f>
        <v>0</v>
      </c>
      <c r="D81" s="457"/>
    </row>
    <row r="82" spans="1:4" x14ac:dyDescent="0.25">
      <c r="A82" t="s">
        <v>499</v>
      </c>
      <c r="B82">
        <v>1.4</v>
      </c>
      <c r="C82" s="457">
        <f>IF('5. Engrais defini par l''utilisa'!F$15="Y",B82,)</f>
        <v>0</v>
      </c>
      <c r="D82" s="457"/>
    </row>
    <row r="83" spans="1:4" x14ac:dyDescent="0.25">
      <c r="A83" t="s">
        <v>501</v>
      </c>
      <c r="B83" s="187">
        <f>AVERAGE(B81:B82)</f>
        <v>0.95</v>
      </c>
      <c r="C83" s="457">
        <f>SUM(C81:D82)</f>
        <v>0</v>
      </c>
      <c r="D83" s="457"/>
    </row>
    <row r="84" spans="1:4" x14ac:dyDescent="0.25">
      <c r="A84"/>
      <c r="B84"/>
      <c r="C84" s="456">
        <f>IF(C83=0, B83, C83)</f>
        <v>0.95</v>
      </c>
      <c r="D84" s="456"/>
    </row>
    <row r="85" spans="1:4" x14ac:dyDescent="0.25">
      <c r="A85"/>
      <c r="B85"/>
      <c r="C85" s="458"/>
      <c r="D85" s="458"/>
    </row>
    <row r="86" spans="1:4" x14ac:dyDescent="0.25">
      <c r="A86" t="s">
        <v>504</v>
      </c>
      <c r="B86"/>
      <c r="C86" s="456">
        <v>0.9</v>
      </c>
      <c r="D86" s="456"/>
    </row>
    <row r="87" spans="1:4" x14ac:dyDescent="0.25">
      <c r="A87" t="s">
        <v>505</v>
      </c>
      <c r="B87"/>
      <c r="C87" s="456">
        <v>1</v>
      </c>
      <c r="D87" s="456"/>
    </row>
    <row r="88" spans="1:4" x14ac:dyDescent="0.25">
      <c r="A88" t="s">
        <v>506</v>
      </c>
      <c r="B88"/>
      <c r="C88" s="456"/>
      <c r="D88" s="456"/>
    </row>
    <row r="89" spans="1:4" x14ac:dyDescent="0.25">
      <c r="A89" t="s">
        <v>507</v>
      </c>
      <c r="B89"/>
      <c r="C89" s="456">
        <v>1.9</v>
      </c>
      <c r="D89" s="456"/>
    </row>
    <row r="90" spans="1:4" x14ac:dyDescent="0.25">
      <c r="A90" t="s">
        <v>508</v>
      </c>
      <c r="B90"/>
      <c r="C90" s="456">
        <v>0.2</v>
      </c>
      <c r="D90" s="456"/>
    </row>
    <row r="91" spans="1:4" x14ac:dyDescent="0.25">
      <c r="A91" t="s">
        <v>509</v>
      </c>
      <c r="B91"/>
      <c r="C91" s="456">
        <v>1.8</v>
      </c>
      <c r="D91" s="456"/>
    </row>
    <row r="92" spans="1:4" x14ac:dyDescent="0.25">
      <c r="A92" s="408" t="s">
        <v>510</v>
      </c>
      <c r="B92"/>
      <c r="C92" s="456">
        <v>2.9</v>
      </c>
      <c r="D92" s="456"/>
    </row>
    <row r="93" spans="1:4" x14ac:dyDescent="0.25">
      <c r="B93" s="6"/>
    </row>
    <row r="94" spans="1:4" x14ac:dyDescent="0.25">
      <c r="A94" s="7" t="s">
        <v>511</v>
      </c>
    </row>
    <row r="96" spans="1:4" ht="15" hidden="1" customHeight="1" x14ac:dyDescent="0.25">
      <c r="A96" s="308" t="s">
        <v>160</v>
      </c>
      <c r="B96" s="284"/>
      <c r="C96" s="284"/>
      <c r="D96" s="283"/>
    </row>
    <row r="97" spans="1:4" ht="15" hidden="1" customHeight="1" x14ac:dyDescent="0.25">
      <c r="A97" s="284"/>
      <c r="B97" s="36" t="s">
        <v>108</v>
      </c>
      <c r="C97" s="460" t="s">
        <v>109</v>
      </c>
      <c r="D97" s="460"/>
    </row>
    <row r="98" spans="1:4" ht="15" hidden="1" customHeight="1" x14ac:dyDescent="0.25">
      <c r="A98" s="284" t="s">
        <v>98</v>
      </c>
      <c r="B98" s="187">
        <v>3.3</v>
      </c>
      <c r="C98" s="457">
        <f>IF('5. Engrais defini par l''utilisa'!E42="Y",B98,)</f>
        <v>0</v>
      </c>
      <c r="D98" s="457"/>
    </row>
    <row r="99" spans="1:4" ht="15" hidden="1" customHeight="1" x14ac:dyDescent="0.25">
      <c r="A99" s="284" t="s">
        <v>99</v>
      </c>
      <c r="B99" s="284">
        <v>8.5</v>
      </c>
      <c r="C99" s="457">
        <f>IF('5. Engrais defini par l''utilisa'!F42="Y",B99,)</f>
        <v>0</v>
      </c>
      <c r="D99" s="457"/>
    </row>
    <row r="100" spans="1:4" ht="15" hidden="1" customHeight="1" x14ac:dyDescent="0.25">
      <c r="A100" s="284" t="s">
        <v>100</v>
      </c>
      <c r="B100" s="284">
        <v>2.7</v>
      </c>
      <c r="C100" s="457">
        <f>IF('5. Engrais defini par l''utilisa'!G42="Y",B100,)</f>
        <v>0</v>
      </c>
      <c r="D100" s="457"/>
    </row>
    <row r="101" spans="1:4" ht="15" hidden="1" customHeight="1" x14ac:dyDescent="0.25">
      <c r="A101" s="284" t="s">
        <v>101</v>
      </c>
      <c r="B101" s="284">
        <v>1</v>
      </c>
      <c r="C101" s="457">
        <f>IF('5. Engrais defini par l''utilisa'!H42="Y",B101,)</f>
        <v>0</v>
      </c>
      <c r="D101" s="457"/>
    </row>
    <row r="102" spans="1:4" ht="15" hidden="1" customHeight="1" x14ac:dyDescent="0.25">
      <c r="A102" s="284" t="s">
        <v>102</v>
      </c>
      <c r="B102" s="284">
        <v>7</v>
      </c>
      <c r="C102" s="457">
        <f>IF('5. Engrais defini par l''utilisa'!I42="Y",B102,)</f>
        <v>0</v>
      </c>
      <c r="D102" s="457"/>
    </row>
    <row r="103" spans="1:4" ht="15" hidden="1" customHeight="1" x14ac:dyDescent="0.25">
      <c r="A103" s="284" t="s">
        <v>110</v>
      </c>
      <c r="B103" s="284">
        <f>AVERAGE(B98:B102)</f>
        <v>4.5</v>
      </c>
      <c r="C103" s="457">
        <f>SUM(C98:D102)</f>
        <v>0</v>
      </c>
      <c r="D103" s="457"/>
    </row>
    <row r="104" spans="1:4" ht="15" hidden="1" customHeight="1" x14ac:dyDescent="0.25">
      <c r="A104" s="284"/>
      <c r="B104" s="284"/>
      <c r="C104" s="459">
        <f>IF(C103=0, B103, C103)</f>
        <v>4.5</v>
      </c>
      <c r="D104" s="459"/>
    </row>
    <row r="105" spans="1:4" ht="15" hidden="1" customHeight="1" x14ac:dyDescent="0.25">
      <c r="A105" s="284"/>
      <c r="B105" s="284"/>
      <c r="C105" s="458"/>
      <c r="D105" s="458"/>
    </row>
    <row r="106" spans="1:4" ht="15" hidden="1" customHeight="1" x14ac:dyDescent="0.25">
      <c r="A106" s="284" t="s">
        <v>103</v>
      </c>
      <c r="B106" s="284">
        <v>2.7</v>
      </c>
      <c r="C106" s="457">
        <f>IF('5. Engrais defini par l''utilisa'!E44="Y",B106,)</f>
        <v>0</v>
      </c>
      <c r="D106" s="457"/>
    </row>
    <row r="107" spans="1:4" ht="15" hidden="1" customHeight="1" x14ac:dyDescent="0.25">
      <c r="A107" s="284" t="s">
        <v>104</v>
      </c>
      <c r="B107" s="284">
        <v>2</v>
      </c>
      <c r="C107" s="457">
        <f>IF('5. Engrais defini par l''utilisa'!F44="Y",B107,)</f>
        <v>0</v>
      </c>
      <c r="D107" s="457"/>
    </row>
    <row r="108" spans="1:4" ht="15" hidden="1" customHeight="1" x14ac:dyDescent="0.25">
      <c r="A108" s="284" t="s">
        <v>111</v>
      </c>
      <c r="B108" s="284">
        <v>0.2</v>
      </c>
      <c r="C108" s="457">
        <f>IF('5. Engrais defini par l''utilisa'!G44="Y",B108,)</f>
        <v>0</v>
      </c>
      <c r="D108" s="457"/>
    </row>
    <row r="109" spans="1:4" ht="15" hidden="1" customHeight="1" x14ac:dyDescent="0.25">
      <c r="A109" s="284" t="s">
        <v>112</v>
      </c>
      <c r="B109" s="187">
        <f>AVERAGE(B106:B108)</f>
        <v>1.6333333333333335</v>
      </c>
      <c r="C109" s="457">
        <f>SUM(C106:D108)</f>
        <v>0</v>
      </c>
      <c r="D109" s="457"/>
    </row>
    <row r="110" spans="1:4" ht="15" hidden="1" customHeight="1" x14ac:dyDescent="0.25">
      <c r="A110" s="284"/>
      <c r="B110" s="284"/>
      <c r="C110" s="459">
        <f>IF(C109=0, B109, C109)</f>
        <v>1.6333333333333335</v>
      </c>
      <c r="D110" s="459"/>
    </row>
    <row r="111" spans="1:4" ht="15" hidden="1" customHeight="1" x14ac:dyDescent="0.25">
      <c r="A111" s="284"/>
      <c r="B111" s="284"/>
      <c r="C111" s="458"/>
      <c r="D111" s="458"/>
    </row>
    <row r="112" spans="1:4" ht="15" hidden="1" customHeight="1" x14ac:dyDescent="0.25">
      <c r="A112" s="284" t="s">
        <v>105</v>
      </c>
      <c r="B112" s="284">
        <v>0.5</v>
      </c>
      <c r="C112" s="457">
        <f>IF('5. Engrais defini par l''utilisa'!E46="Y",B112,)</f>
        <v>0</v>
      </c>
      <c r="D112" s="457"/>
    </row>
    <row r="113" spans="1:4" ht="15" hidden="1" customHeight="1" x14ac:dyDescent="0.25">
      <c r="A113" s="284" t="s">
        <v>106</v>
      </c>
      <c r="B113" s="284">
        <v>1.4</v>
      </c>
      <c r="C113" s="457">
        <f>IF('5. Engrais defini par l''utilisa'!F46="Y",B113,)</f>
        <v>0</v>
      </c>
      <c r="D113" s="457"/>
    </row>
    <row r="114" spans="1:4" ht="15" hidden="1" customHeight="1" x14ac:dyDescent="0.25">
      <c r="A114" s="284" t="s">
        <v>113</v>
      </c>
      <c r="B114" s="187">
        <f>AVERAGE(B112:B113)</f>
        <v>0.95</v>
      </c>
      <c r="C114" s="457">
        <f>SUM(C112:D113)</f>
        <v>0</v>
      </c>
      <c r="D114" s="457"/>
    </row>
    <row r="115" spans="1:4" ht="15" hidden="1" customHeight="1" x14ac:dyDescent="0.25">
      <c r="A115" s="284"/>
      <c r="B115" s="284"/>
      <c r="C115" s="456">
        <f>IF(C114=0, B114, C114)</f>
        <v>0.95</v>
      </c>
      <c r="D115" s="456"/>
    </row>
    <row r="116" spans="1:4" ht="15" hidden="1" customHeight="1" x14ac:dyDescent="0.25">
      <c r="A116" s="284"/>
      <c r="B116" s="284"/>
      <c r="C116" s="458"/>
      <c r="D116" s="458"/>
    </row>
    <row r="117" spans="1:4" ht="15" hidden="1" customHeight="1" x14ac:dyDescent="0.25">
      <c r="A117" s="284" t="s">
        <v>114</v>
      </c>
      <c r="B117" s="284"/>
      <c r="C117" s="456">
        <v>0.9</v>
      </c>
      <c r="D117" s="456"/>
    </row>
    <row r="118" spans="1:4" ht="15" hidden="1" customHeight="1" x14ac:dyDescent="0.25">
      <c r="A118" s="284" t="s">
        <v>115</v>
      </c>
      <c r="B118" s="284"/>
      <c r="C118" s="456">
        <v>1</v>
      </c>
      <c r="D118" s="456"/>
    </row>
    <row r="119" spans="1:4" ht="15" hidden="1" customHeight="1" x14ac:dyDescent="0.25">
      <c r="A119" s="284" t="s">
        <v>116</v>
      </c>
      <c r="B119" s="284"/>
      <c r="C119" s="456"/>
      <c r="D119" s="456"/>
    </row>
    <row r="120" spans="1:4" ht="15" hidden="1" customHeight="1" x14ac:dyDescent="0.25">
      <c r="A120" s="284" t="s">
        <v>117</v>
      </c>
      <c r="B120" s="284"/>
      <c r="C120" s="456">
        <v>1.9</v>
      </c>
      <c r="D120" s="456"/>
    </row>
    <row r="121" spans="1:4" ht="15" hidden="1" customHeight="1" x14ac:dyDescent="0.25">
      <c r="A121" s="284" t="s">
        <v>118</v>
      </c>
      <c r="B121" s="284"/>
      <c r="C121" s="456">
        <v>0.2</v>
      </c>
      <c r="D121" s="456"/>
    </row>
    <row r="122" spans="1:4" ht="15" hidden="1" customHeight="1" x14ac:dyDescent="0.25">
      <c r="A122" s="284" t="s">
        <v>119</v>
      </c>
      <c r="B122" s="284"/>
      <c r="C122" s="456">
        <v>1.8</v>
      </c>
      <c r="D122" s="456"/>
    </row>
    <row r="123" spans="1:4" ht="15" hidden="1" customHeight="1" x14ac:dyDescent="0.25">
      <c r="A123" s="284" t="s">
        <v>120</v>
      </c>
      <c r="B123" s="284"/>
      <c r="C123" s="456">
        <v>2.9</v>
      </c>
      <c r="D123" s="456"/>
    </row>
    <row r="124" spans="1:4" ht="15" hidden="1" customHeight="1" x14ac:dyDescent="0.25"/>
    <row r="125" spans="1:4" ht="15" hidden="1" customHeight="1" x14ac:dyDescent="0.25">
      <c r="A125" s="308" t="s">
        <v>127</v>
      </c>
    </row>
    <row r="126" spans="1:4" ht="15" hidden="1" customHeight="1" x14ac:dyDescent="0.25">
      <c r="A126" s="309"/>
      <c r="B126" s="36" t="s">
        <v>108</v>
      </c>
      <c r="C126" s="460" t="s">
        <v>109</v>
      </c>
      <c r="D126" s="460"/>
    </row>
    <row r="127" spans="1:4" ht="15" hidden="1" customHeight="1" x14ac:dyDescent="0.25">
      <c r="A127" s="309" t="s">
        <v>98</v>
      </c>
      <c r="B127" s="187">
        <v>3.3</v>
      </c>
      <c r="C127" s="457">
        <f>IF('5. Engrais defini par l''utilisa'!E68="Y",B127,)</f>
        <v>0</v>
      </c>
      <c r="D127" s="457"/>
    </row>
    <row r="128" spans="1:4" ht="15" hidden="1" customHeight="1" x14ac:dyDescent="0.25">
      <c r="A128" s="309" t="s">
        <v>99</v>
      </c>
      <c r="B128" s="309">
        <v>8.5</v>
      </c>
      <c r="C128" s="457">
        <f>IF('5. Engrais defini par l''utilisa'!F68="Y",B128,)</f>
        <v>0</v>
      </c>
      <c r="D128" s="457"/>
    </row>
    <row r="129" spans="1:4" ht="15" hidden="1" customHeight="1" x14ac:dyDescent="0.25">
      <c r="A129" s="309" t="s">
        <v>100</v>
      </c>
      <c r="B129" s="309">
        <v>2.7</v>
      </c>
      <c r="C129" s="457">
        <f>IF('5. Engrais defini par l''utilisa'!G68="Y",B129,)</f>
        <v>0</v>
      </c>
      <c r="D129" s="457"/>
    </row>
    <row r="130" spans="1:4" ht="15" hidden="1" customHeight="1" x14ac:dyDescent="0.25">
      <c r="A130" s="309" t="s">
        <v>101</v>
      </c>
      <c r="B130" s="309">
        <v>1</v>
      </c>
      <c r="C130" s="457">
        <f>IF('5. Engrais defini par l''utilisa'!H68="Y",B130,)</f>
        <v>0</v>
      </c>
      <c r="D130" s="457"/>
    </row>
    <row r="131" spans="1:4" ht="15" hidden="1" customHeight="1" x14ac:dyDescent="0.25">
      <c r="A131" s="309" t="s">
        <v>102</v>
      </c>
      <c r="B131" s="309">
        <v>7</v>
      </c>
      <c r="C131" s="457">
        <f>IF('5. Engrais defini par l''utilisa'!I68="Y",B131,)</f>
        <v>0</v>
      </c>
      <c r="D131" s="457"/>
    </row>
    <row r="132" spans="1:4" ht="15" hidden="1" customHeight="1" x14ac:dyDescent="0.25">
      <c r="A132" s="309" t="s">
        <v>110</v>
      </c>
      <c r="B132" s="309">
        <f>AVERAGE(B127:B131)</f>
        <v>4.5</v>
      </c>
      <c r="C132" s="457">
        <f>SUM(C127:D131)</f>
        <v>0</v>
      </c>
      <c r="D132" s="457"/>
    </row>
    <row r="133" spans="1:4" ht="15" hidden="1" customHeight="1" x14ac:dyDescent="0.25">
      <c r="A133" s="309"/>
      <c r="B133" s="309"/>
      <c r="C133" s="459">
        <f>IF(C132=0, B132, C132)</f>
        <v>4.5</v>
      </c>
      <c r="D133" s="459"/>
    </row>
    <row r="134" spans="1:4" ht="15" hidden="1" customHeight="1" x14ac:dyDescent="0.25">
      <c r="A134" s="309"/>
      <c r="B134" s="309"/>
      <c r="C134" s="458"/>
      <c r="D134" s="458"/>
    </row>
    <row r="135" spans="1:4" ht="15" hidden="1" customHeight="1" x14ac:dyDescent="0.25">
      <c r="A135" s="309" t="s">
        <v>103</v>
      </c>
      <c r="B135" s="309">
        <v>2.7</v>
      </c>
      <c r="C135" s="457">
        <f>IF('5. Engrais defini par l''utilisa'!E70="Y",B135,)</f>
        <v>0</v>
      </c>
      <c r="D135" s="457"/>
    </row>
    <row r="136" spans="1:4" ht="15" hidden="1" customHeight="1" x14ac:dyDescent="0.25">
      <c r="A136" s="309" t="s">
        <v>104</v>
      </c>
      <c r="B136" s="309">
        <v>2</v>
      </c>
      <c r="C136" s="457">
        <f>IF('5. Engrais defini par l''utilisa'!F70="Y",B136,)</f>
        <v>0</v>
      </c>
      <c r="D136" s="457"/>
    </row>
    <row r="137" spans="1:4" ht="15" hidden="1" customHeight="1" x14ac:dyDescent="0.25">
      <c r="A137" s="309" t="s">
        <v>111</v>
      </c>
      <c r="B137" s="309">
        <v>0.2</v>
      </c>
      <c r="C137" s="457">
        <f>IF('5. Engrais defini par l''utilisa'!G70="Y",B137,)</f>
        <v>0</v>
      </c>
      <c r="D137" s="457"/>
    </row>
    <row r="138" spans="1:4" ht="15" hidden="1" customHeight="1" x14ac:dyDescent="0.25">
      <c r="A138" s="309" t="s">
        <v>112</v>
      </c>
      <c r="B138" s="187">
        <f>AVERAGE(B135:B137)</f>
        <v>1.6333333333333335</v>
      </c>
      <c r="C138" s="457">
        <f>SUM(C135:D137)</f>
        <v>0</v>
      </c>
      <c r="D138" s="457"/>
    </row>
    <row r="139" spans="1:4" ht="15" hidden="1" customHeight="1" x14ac:dyDescent="0.25">
      <c r="A139" s="309"/>
      <c r="B139" s="309"/>
      <c r="C139" s="459">
        <f>IF(C138=0, B138, C138)</f>
        <v>1.6333333333333335</v>
      </c>
      <c r="D139" s="459"/>
    </row>
    <row r="140" spans="1:4" ht="15" hidden="1" customHeight="1" x14ac:dyDescent="0.25">
      <c r="A140" s="309"/>
      <c r="B140" s="309"/>
      <c r="C140" s="458"/>
      <c r="D140" s="458"/>
    </row>
    <row r="141" spans="1:4" ht="15" hidden="1" customHeight="1" x14ac:dyDescent="0.25">
      <c r="A141" s="309" t="s">
        <v>105</v>
      </c>
      <c r="B141" s="309">
        <v>0.5</v>
      </c>
      <c r="C141" s="457">
        <f>IF('5. Engrais defini par l''utilisa'!E72="Y",B141,)</f>
        <v>0</v>
      </c>
      <c r="D141" s="457"/>
    </row>
    <row r="142" spans="1:4" ht="15" hidden="1" customHeight="1" x14ac:dyDescent="0.25">
      <c r="A142" s="309" t="s">
        <v>106</v>
      </c>
      <c r="B142" s="309">
        <v>1.4</v>
      </c>
      <c r="C142" s="457">
        <f>IF('5. Engrais defini par l''utilisa'!F72="Y",B142,)</f>
        <v>0</v>
      </c>
      <c r="D142" s="457"/>
    </row>
    <row r="143" spans="1:4" ht="15" hidden="1" customHeight="1" x14ac:dyDescent="0.25">
      <c r="A143" s="309" t="s">
        <v>113</v>
      </c>
      <c r="B143" s="187">
        <f>AVERAGE(B141:B142)</f>
        <v>0.95</v>
      </c>
      <c r="C143" s="457">
        <f>SUM(C141:D142)</f>
        <v>0</v>
      </c>
      <c r="D143" s="457"/>
    </row>
    <row r="144" spans="1:4" ht="15" hidden="1" customHeight="1" x14ac:dyDescent="0.25">
      <c r="A144" s="309"/>
      <c r="B144" s="309"/>
      <c r="C144" s="456">
        <f>IF(C143=0, B143, C143)</f>
        <v>0.95</v>
      </c>
      <c r="D144" s="456"/>
    </row>
    <row r="145" spans="1:4" ht="15" hidden="1" customHeight="1" x14ac:dyDescent="0.25">
      <c r="A145" s="309"/>
      <c r="B145" s="309"/>
      <c r="C145" s="458"/>
      <c r="D145" s="458"/>
    </row>
    <row r="146" spans="1:4" ht="15" hidden="1" customHeight="1" x14ac:dyDescent="0.25">
      <c r="A146" s="309" t="s">
        <v>114</v>
      </c>
      <c r="B146" s="309"/>
      <c r="C146" s="456">
        <v>0.9</v>
      </c>
      <c r="D146" s="456"/>
    </row>
    <row r="147" spans="1:4" ht="15" hidden="1" customHeight="1" x14ac:dyDescent="0.25">
      <c r="A147" s="309" t="s">
        <v>115</v>
      </c>
      <c r="B147" s="309"/>
      <c r="C147" s="456">
        <v>1</v>
      </c>
      <c r="D147" s="456"/>
    </row>
    <row r="148" spans="1:4" ht="15" hidden="1" customHeight="1" x14ac:dyDescent="0.25">
      <c r="A148" s="309" t="s">
        <v>116</v>
      </c>
      <c r="B148" s="309"/>
      <c r="C148" s="456"/>
      <c r="D148" s="456"/>
    </row>
    <row r="149" spans="1:4" ht="15" hidden="1" customHeight="1" x14ac:dyDescent="0.25">
      <c r="A149" s="309" t="s">
        <v>117</v>
      </c>
      <c r="B149" s="309"/>
      <c r="C149" s="456">
        <v>1.9</v>
      </c>
      <c r="D149" s="456"/>
    </row>
    <row r="150" spans="1:4" ht="15" hidden="1" customHeight="1" x14ac:dyDescent="0.25">
      <c r="A150" s="309" t="s">
        <v>118</v>
      </c>
      <c r="B150" s="309"/>
      <c r="C150" s="456">
        <v>0.2</v>
      </c>
      <c r="D150" s="456"/>
    </row>
    <row r="151" spans="1:4" ht="15" hidden="1" customHeight="1" x14ac:dyDescent="0.25">
      <c r="A151" s="309" t="s">
        <v>119</v>
      </c>
      <c r="B151" s="309"/>
      <c r="C151" s="456">
        <v>1.8</v>
      </c>
      <c r="D151" s="456"/>
    </row>
    <row r="152" spans="1:4" ht="15" hidden="1" customHeight="1" x14ac:dyDescent="0.25">
      <c r="A152" s="309" t="s">
        <v>120</v>
      </c>
      <c r="B152" s="309"/>
      <c r="C152" s="456">
        <v>2.9</v>
      </c>
      <c r="D152" s="456"/>
    </row>
    <row r="153" spans="1:4" ht="15" hidden="1" customHeight="1" x14ac:dyDescent="0.25"/>
    <row r="154" spans="1:4" ht="15" hidden="1" customHeight="1" x14ac:dyDescent="0.25">
      <c r="A154" s="308" t="s">
        <v>128</v>
      </c>
    </row>
    <row r="155" spans="1:4" ht="15" hidden="1" customHeight="1" x14ac:dyDescent="0.25">
      <c r="A155" s="309"/>
      <c r="B155" s="36" t="s">
        <v>108</v>
      </c>
      <c r="C155" s="460" t="s">
        <v>109</v>
      </c>
      <c r="D155" s="460"/>
    </row>
    <row r="156" spans="1:4" ht="15" hidden="1" customHeight="1" x14ac:dyDescent="0.25">
      <c r="A156" s="309" t="s">
        <v>98</v>
      </c>
      <c r="B156" s="187">
        <v>3.3</v>
      </c>
      <c r="C156" s="457">
        <f>IF('5. Engrais defini par l''utilisa'!E94="Y",B156,)</f>
        <v>0</v>
      </c>
      <c r="D156" s="457"/>
    </row>
    <row r="157" spans="1:4" ht="15" hidden="1" customHeight="1" x14ac:dyDescent="0.25">
      <c r="A157" s="309" t="s">
        <v>99</v>
      </c>
      <c r="B157" s="309">
        <v>8.5</v>
      </c>
      <c r="C157" s="457">
        <f>IF('5. Engrais defini par l''utilisa'!F94="Y",B157,)</f>
        <v>0</v>
      </c>
      <c r="D157" s="457"/>
    </row>
    <row r="158" spans="1:4" ht="15" hidden="1" customHeight="1" x14ac:dyDescent="0.25">
      <c r="A158" s="309" t="s">
        <v>100</v>
      </c>
      <c r="B158" s="309">
        <v>2.7</v>
      </c>
      <c r="C158" s="457">
        <f>IF('5. Engrais defini par l''utilisa'!G94="Y",B158,)</f>
        <v>0</v>
      </c>
      <c r="D158" s="457"/>
    </row>
    <row r="159" spans="1:4" ht="15" hidden="1" customHeight="1" x14ac:dyDescent="0.25">
      <c r="A159" s="309" t="s">
        <v>101</v>
      </c>
      <c r="B159" s="309">
        <v>1</v>
      </c>
      <c r="C159" s="457">
        <f>IF('5. Engrais defini par l''utilisa'!H94="Y",B159,)</f>
        <v>0</v>
      </c>
      <c r="D159" s="457"/>
    </row>
    <row r="160" spans="1:4" ht="15" hidden="1" customHeight="1" x14ac:dyDescent="0.25">
      <c r="A160" s="309" t="s">
        <v>102</v>
      </c>
      <c r="B160" s="309">
        <v>7</v>
      </c>
      <c r="C160" s="457">
        <f>IF('5. Engrais defini par l''utilisa'!I94="Y",B160,)</f>
        <v>0</v>
      </c>
      <c r="D160" s="457"/>
    </row>
    <row r="161" spans="1:4" ht="15" hidden="1" customHeight="1" x14ac:dyDescent="0.25">
      <c r="A161" s="309" t="s">
        <v>110</v>
      </c>
      <c r="B161" s="309">
        <f>AVERAGE(B156:B160)</f>
        <v>4.5</v>
      </c>
      <c r="C161" s="457">
        <f>SUM(C156:D160)</f>
        <v>0</v>
      </c>
      <c r="D161" s="457"/>
    </row>
    <row r="162" spans="1:4" ht="15" hidden="1" customHeight="1" x14ac:dyDescent="0.25">
      <c r="A162" s="309"/>
      <c r="B162" s="309"/>
      <c r="C162" s="459">
        <f>IF(C161=0, B161, C161)</f>
        <v>4.5</v>
      </c>
      <c r="D162" s="459"/>
    </row>
    <row r="163" spans="1:4" ht="15" hidden="1" customHeight="1" x14ac:dyDescent="0.25">
      <c r="A163" s="309"/>
      <c r="B163" s="309"/>
      <c r="C163" s="458"/>
      <c r="D163" s="458"/>
    </row>
    <row r="164" spans="1:4" ht="15" hidden="1" customHeight="1" x14ac:dyDescent="0.25">
      <c r="A164" s="309" t="s">
        <v>103</v>
      </c>
      <c r="B164" s="309">
        <v>2.7</v>
      </c>
      <c r="C164" s="457">
        <f>IF('5. Engrais defini par l''utilisa'!E96="Y",B164,)</f>
        <v>0</v>
      </c>
      <c r="D164" s="457"/>
    </row>
    <row r="165" spans="1:4" ht="15" hidden="1" customHeight="1" x14ac:dyDescent="0.25">
      <c r="A165" s="309" t="s">
        <v>104</v>
      </c>
      <c r="B165" s="309">
        <v>2</v>
      </c>
      <c r="C165" s="457">
        <f>IF('5. Engrais defini par l''utilisa'!F96="Y",B165,)</f>
        <v>0</v>
      </c>
      <c r="D165" s="457"/>
    </row>
    <row r="166" spans="1:4" ht="15" hidden="1" customHeight="1" x14ac:dyDescent="0.25">
      <c r="A166" s="309" t="s">
        <v>111</v>
      </c>
      <c r="B166" s="309">
        <v>0.2</v>
      </c>
      <c r="C166" s="457">
        <f>IF('5. Engrais defini par l''utilisa'!G96="Y",B166,)</f>
        <v>0</v>
      </c>
      <c r="D166" s="457"/>
    </row>
    <row r="167" spans="1:4" ht="15" hidden="1" customHeight="1" x14ac:dyDescent="0.25">
      <c r="A167" s="309" t="s">
        <v>112</v>
      </c>
      <c r="B167" s="187">
        <f>AVERAGE(B164:B166)</f>
        <v>1.6333333333333335</v>
      </c>
      <c r="C167" s="457">
        <f>SUM(C164:D166)</f>
        <v>0</v>
      </c>
      <c r="D167" s="457"/>
    </row>
    <row r="168" spans="1:4" ht="15" hidden="1" customHeight="1" x14ac:dyDescent="0.25">
      <c r="A168" s="309"/>
      <c r="B168" s="309"/>
      <c r="C168" s="459">
        <f>IF(C167=0, B167, C167)</f>
        <v>1.6333333333333335</v>
      </c>
      <c r="D168" s="459"/>
    </row>
    <row r="169" spans="1:4" ht="15" hidden="1" customHeight="1" x14ac:dyDescent="0.25">
      <c r="A169" s="309"/>
      <c r="B169" s="309"/>
      <c r="C169" s="458"/>
      <c r="D169" s="458"/>
    </row>
    <row r="170" spans="1:4" ht="15" hidden="1" customHeight="1" x14ac:dyDescent="0.25">
      <c r="A170" s="309" t="s">
        <v>105</v>
      </c>
      <c r="B170" s="309">
        <v>0.5</v>
      </c>
      <c r="C170" s="457">
        <f>IF('5. Engrais defini par l''utilisa'!E98="Y",B170,)</f>
        <v>0</v>
      </c>
      <c r="D170" s="457"/>
    </row>
    <row r="171" spans="1:4" ht="15" hidden="1" customHeight="1" x14ac:dyDescent="0.25">
      <c r="A171" s="309" t="s">
        <v>106</v>
      </c>
      <c r="B171" s="309">
        <v>1.4</v>
      </c>
      <c r="C171" s="457">
        <f>IF('5. Engrais defini par l''utilisa'!F98="Y",B171,)</f>
        <v>0</v>
      </c>
      <c r="D171" s="457"/>
    </row>
    <row r="172" spans="1:4" ht="15" hidden="1" customHeight="1" x14ac:dyDescent="0.25">
      <c r="A172" s="309" t="s">
        <v>113</v>
      </c>
      <c r="B172" s="187">
        <f>AVERAGE(B170:B171)</f>
        <v>0.95</v>
      </c>
      <c r="C172" s="457">
        <f>SUM(C170:D171)</f>
        <v>0</v>
      </c>
      <c r="D172" s="457"/>
    </row>
    <row r="173" spans="1:4" ht="15" hidden="1" customHeight="1" x14ac:dyDescent="0.25">
      <c r="A173" s="309"/>
      <c r="B173" s="309"/>
      <c r="C173" s="456">
        <f>IF(C172=0, B172, C172)</f>
        <v>0.95</v>
      </c>
      <c r="D173" s="456"/>
    </row>
    <row r="174" spans="1:4" ht="15" hidden="1" customHeight="1" x14ac:dyDescent="0.25">
      <c r="A174" s="309"/>
      <c r="B174" s="309"/>
      <c r="C174" s="458"/>
      <c r="D174" s="458"/>
    </row>
    <row r="175" spans="1:4" ht="15" hidden="1" customHeight="1" x14ac:dyDescent="0.25">
      <c r="A175" s="309" t="s">
        <v>114</v>
      </c>
      <c r="B175" s="309"/>
      <c r="C175" s="456">
        <v>0.9</v>
      </c>
      <c r="D175" s="456"/>
    </row>
    <row r="176" spans="1:4" ht="15" hidden="1" customHeight="1" x14ac:dyDescent="0.25">
      <c r="A176" s="309" t="s">
        <v>115</v>
      </c>
      <c r="B176" s="309"/>
      <c r="C176" s="456">
        <v>1</v>
      </c>
      <c r="D176" s="456"/>
    </row>
    <row r="177" spans="1:4" ht="15" hidden="1" customHeight="1" x14ac:dyDescent="0.25">
      <c r="A177" s="309" t="s">
        <v>116</v>
      </c>
      <c r="B177" s="309"/>
      <c r="C177" s="456"/>
      <c r="D177" s="456"/>
    </row>
    <row r="178" spans="1:4" ht="15" hidden="1" customHeight="1" x14ac:dyDescent="0.25">
      <c r="A178" s="309" t="s">
        <v>117</v>
      </c>
      <c r="B178" s="309"/>
      <c r="C178" s="456">
        <v>1.9</v>
      </c>
      <c r="D178" s="456"/>
    </row>
    <row r="179" spans="1:4" ht="15" hidden="1" customHeight="1" x14ac:dyDescent="0.25">
      <c r="A179" s="309" t="s">
        <v>118</v>
      </c>
      <c r="B179" s="309"/>
      <c r="C179" s="456">
        <v>0.2</v>
      </c>
      <c r="D179" s="456"/>
    </row>
    <row r="180" spans="1:4" ht="15" hidden="1" customHeight="1" x14ac:dyDescent="0.25">
      <c r="A180" s="309" t="s">
        <v>119</v>
      </c>
      <c r="B180" s="309"/>
      <c r="C180" s="456">
        <v>1.8</v>
      </c>
      <c r="D180" s="456"/>
    </row>
    <row r="181" spans="1:4" ht="15" hidden="1" customHeight="1" x14ac:dyDescent="0.25">
      <c r="A181" s="309" t="s">
        <v>120</v>
      </c>
      <c r="B181" s="309"/>
      <c r="C181" s="456">
        <v>2.9</v>
      </c>
      <c r="D181" s="456"/>
    </row>
    <row r="182" spans="1:4" ht="15" hidden="1" customHeight="1" x14ac:dyDescent="0.25"/>
    <row r="183" spans="1:4" ht="15" hidden="1" customHeight="1" x14ac:dyDescent="0.25">
      <c r="A183" s="308" t="s">
        <v>129</v>
      </c>
    </row>
    <row r="184" spans="1:4" ht="15" hidden="1" customHeight="1" x14ac:dyDescent="0.25">
      <c r="A184" s="309"/>
      <c r="B184" s="36" t="s">
        <v>108</v>
      </c>
      <c r="C184" s="460" t="s">
        <v>109</v>
      </c>
      <c r="D184" s="460"/>
    </row>
    <row r="185" spans="1:4" ht="15" hidden="1" customHeight="1" x14ac:dyDescent="0.25">
      <c r="A185" s="309" t="s">
        <v>98</v>
      </c>
      <c r="B185" s="187">
        <v>3.3</v>
      </c>
      <c r="C185" s="457">
        <f>IF('5. Engrais defini par l''utilisa'!E120="Y",B185,)</f>
        <v>0</v>
      </c>
      <c r="D185" s="457"/>
    </row>
    <row r="186" spans="1:4" ht="15" hidden="1" customHeight="1" x14ac:dyDescent="0.25">
      <c r="A186" s="309" t="s">
        <v>99</v>
      </c>
      <c r="B186" s="309">
        <v>8.5</v>
      </c>
      <c r="C186" s="457">
        <f>IF('5. Engrais defini par l''utilisa'!F120="Y",B186,)</f>
        <v>0</v>
      </c>
      <c r="D186" s="457"/>
    </row>
    <row r="187" spans="1:4" ht="15" hidden="1" customHeight="1" x14ac:dyDescent="0.25">
      <c r="A187" s="309" t="s">
        <v>100</v>
      </c>
      <c r="B187" s="309">
        <v>2.7</v>
      </c>
      <c r="C187" s="457">
        <f>IF('5. Engrais defini par l''utilisa'!G120="Y",B187,)</f>
        <v>0</v>
      </c>
      <c r="D187" s="457"/>
    </row>
    <row r="188" spans="1:4" ht="15" hidden="1" customHeight="1" x14ac:dyDescent="0.25">
      <c r="A188" s="309" t="s">
        <v>101</v>
      </c>
      <c r="B188" s="309">
        <v>1</v>
      </c>
      <c r="C188" s="457">
        <f>IF('5. Engrais defini par l''utilisa'!H120="Y",B188,)</f>
        <v>0</v>
      </c>
      <c r="D188" s="457"/>
    </row>
    <row r="189" spans="1:4" ht="15" hidden="1" customHeight="1" x14ac:dyDescent="0.25">
      <c r="A189" s="309" t="s">
        <v>102</v>
      </c>
      <c r="B189" s="309">
        <v>7</v>
      </c>
      <c r="C189" s="457">
        <f>IF('5. Engrais defini par l''utilisa'!I120="Y",B189,)</f>
        <v>0</v>
      </c>
      <c r="D189" s="457"/>
    </row>
    <row r="190" spans="1:4" ht="15" hidden="1" customHeight="1" x14ac:dyDescent="0.25">
      <c r="A190" s="309" t="s">
        <v>110</v>
      </c>
      <c r="B190" s="309">
        <f>AVERAGE(B185:B189)</f>
        <v>4.5</v>
      </c>
      <c r="C190" s="457">
        <f>SUM(C185:D189)</f>
        <v>0</v>
      </c>
      <c r="D190" s="457"/>
    </row>
    <row r="191" spans="1:4" ht="15" hidden="1" customHeight="1" x14ac:dyDescent="0.25">
      <c r="A191" s="309"/>
      <c r="B191" s="309"/>
      <c r="C191" s="459">
        <f>IF(C190=0, B190, C190)</f>
        <v>4.5</v>
      </c>
      <c r="D191" s="459"/>
    </row>
    <row r="192" spans="1:4" ht="15" hidden="1" customHeight="1" x14ac:dyDescent="0.25">
      <c r="A192" s="309"/>
      <c r="B192" s="309"/>
      <c r="C192" s="458"/>
      <c r="D192" s="458"/>
    </row>
    <row r="193" spans="1:4" ht="15" hidden="1" customHeight="1" x14ac:dyDescent="0.25">
      <c r="A193" s="309" t="s">
        <v>103</v>
      </c>
      <c r="B193" s="309">
        <v>2.7</v>
      </c>
      <c r="C193" s="457">
        <f>IF('5. Engrais defini par l''utilisa'!E122="Y",B193,)</f>
        <v>0</v>
      </c>
      <c r="D193" s="457"/>
    </row>
    <row r="194" spans="1:4" ht="15" hidden="1" customHeight="1" x14ac:dyDescent="0.25">
      <c r="A194" s="309" t="s">
        <v>104</v>
      </c>
      <c r="B194" s="309">
        <v>2</v>
      </c>
      <c r="C194" s="457">
        <f>IF('5. Engrais defini par l''utilisa'!F122="Y",B194,)</f>
        <v>0</v>
      </c>
      <c r="D194" s="457"/>
    </row>
    <row r="195" spans="1:4" ht="15" hidden="1" customHeight="1" x14ac:dyDescent="0.25">
      <c r="A195" s="309" t="s">
        <v>111</v>
      </c>
      <c r="B195" s="309">
        <v>0.2</v>
      </c>
      <c r="C195" s="457">
        <f>IF('5. Engrais defini par l''utilisa'!G122="Y",B195,)</f>
        <v>0</v>
      </c>
      <c r="D195" s="457"/>
    </row>
    <row r="196" spans="1:4" ht="15" hidden="1" customHeight="1" x14ac:dyDescent="0.25">
      <c r="A196" s="309" t="s">
        <v>112</v>
      </c>
      <c r="B196" s="187">
        <f>AVERAGE(B193:B195)</f>
        <v>1.6333333333333335</v>
      </c>
      <c r="C196" s="457">
        <f>SUM(C193:D195)</f>
        <v>0</v>
      </c>
      <c r="D196" s="457"/>
    </row>
    <row r="197" spans="1:4" ht="15" hidden="1" customHeight="1" x14ac:dyDescent="0.25">
      <c r="A197" s="309"/>
      <c r="B197" s="309"/>
      <c r="C197" s="459">
        <f>IF(C196=0, B196, C196)</f>
        <v>1.6333333333333335</v>
      </c>
      <c r="D197" s="459"/>
    </row>
    <row r="198" spans="1:4" ht="15" hidden="1" customHeight="1" x14ac:dyDescent="0.25">
      <c r="A198" s="309"/>
      <c r="B198" s="309"/>
      <c r="C198" s="458"/>
      <c r="D198" s="458"/>
    </row>
    <row r="199" spans="1:4" ht="15" hidden="1" customHeight="1" x14ac:dyDescent="0.25">
      <c r="A199" s="309" t="s">
        <v>105</v>
      </c>
      <c r="B199" s="309">
        <v>0.5</v>
      </c>
      <c r="C199" s="457">
        <f>IF('5. Engrais defini par l''utilisa'!E124="Y",B199,)</f>
        <v>0</v>
      </c>
      <c r="D199" s="457"/>
    </row>
    <row r="200" spans="1:4" ht="15" hidden="1" customHeight="1" x14ac:dyDescent="0.25">
      <c r="A200" s="309" t="s">
        <v>106</v>
      </c>
      <c r="B200" s="309">
        <v>1.4</v>
      </c>
      <c r="C200" s="457">
        <f>IF('5. Engrais defini par l''utilisa'!F124="Y",B200,)</f>
        <v>0</v>
      </c>
      <c r="D200" s="457"/>
    </row>
    <row r="201" spans="1:4" ht="15" hidden="1" customHeight="1" x14ac:dyDescent="0.25">
      <c r="A201" s="309" t="s">
        <v>113</v>
      </c>
      <c r="B201" s="187">
        <f>AVERAGE(B199:B200)</f>
        <v>0.95</v>
      </c>
      <c r="C201" s="457">
        <f>SUM(C199:D200)</f>
        <v>0</v>
      </c>
      <c r="D201" s="457"/>
    </row>
    <row r="202" spans="1:4" ht="15" hidden="1" customHeight="1" x14ac:dyDescent="0.25">
      <c r="A202" s="309"/>
      <c r="B202" s="309"/>
      <c r="C202" s="456">
        <f>IF(C201=0, B201, C201)</f>
        <v>0.95</v>
      </c>
      <c r="D202" s="456"/>
    </row>
    <row r="203" spans="1:4" ht="15" hidden="1" customHeight="1" x14ac:dyDescent="0.25">
      <c r="A203" s="309"/>
      <c r="B203" s="309"/>
      <c r="C203" s="458"/>
      <c r="D203" s="458"/>
    </row>
    <row r="204" spans="1:4" ht="15" hidden="1" customHeight="1" x14ac:dyDescent="0.25">
      <c r="A204" s="309" t="s">
        <v>114</v>
      </c>
      <c r="B204" s="309"/>
      <c r="C204" s="456">
        <v>0.9</v>
      </c>
      <c r="D204" s="456"/>
    </row>
    <row r="205" spans="1:4" ht="15" hidden="1" customHeight="1" x14ac:dyDescent="0.25">
      <c r="A205" s="309" t="s">
        <v>115</v>
      </c>
      <c r="B205" s="309"/>
      <c r="C205" s="456">
        <v>1</v>
      </c>
      <c r="D205" s="456"/>
    </row>
    <row r="206" spans="1:4" ht="15" hidden="1" customHeight="1" x14ac:dyDescent="0.25">
      <c r="A206" s="309" t="s">
        <v>116</v>
      </c>
      <c r="B206" s="309"/>
      <c r="C206" s="456"/>
      <c r="D206" s="456"/>
    </row>
    <row r="207" spans="1:4" ht="15" hidden="1" customHeight="1" x14ac:dyDescent="0.25">
      <c r="A207" s="309" t="s">
        <v>117</v>
      </c>
      <c r="B207" s="309"/>
      <c r="C207" s="456">
        <v>1.9</v>
      </c>
      <c r="D207" s="456"/>
    </row>
    <row r="208" spans="1:4" ht="15" hidden="1" customHeight="1" x14ac:dyDescent="0.25">
      <c r="A208" s="309" t="s">
        <v>118</v>
      </c>
      <c r="B208" s="309"/>
      <c r="C208" s="456">
        <v>0.2</v>
      </c>
      <c r="D208" s="456"/>
    </row>
    <row r="209" spans="1:4" ht="15" hidden="1" customHeight="1" x14ac:dyDescent="0.25">
      <c r="A209" s="309" t="s">
        <v>119</v>
      </c>
      <c r="B209" s="309"/>
      <c r="C209" s="456">
        <v>1.8</v>
      </c>
      <c r="D209" s="456"/>
    </row>
    <row r="210" spans="1:4" ht="15" hidden="1" customHeight="1" x14ac:dyDescent="0.25">
      <c r="A210" s="309" t="s">
        <v>120</v>
      </c>
      <c r="B210" s="309"/>
      <c r="C210" s="456">
        <v>2.9</v>
      </c>
      <c r="D210" s="456"/>
    </row>
    <row r="211" spans="1:4" ht="15" hidden="1" customHeight="1" x14ac:dyDescent="0.25"/>
    <row r="212" spans="1:4" ht="15" hidden="1" customHeight="1" x14ac:dyDescent="0.25">
      <c r="A212" s="308" t="s">
        <v>155</v>
      </c>
      <c r="B212" s="308"/>
      <c r="C212" s="308"/>
      <c r="D212" s="308"/>
    </row>
    <row r="213" spans="1:4" ht="15" hidden="1" customHeight="1" x14ac:dyDescent="0.25">
      <c r="A213" s="309"/>
      <c r="B213" s="36" t="s">
        <v>108</v>
      </c>
      <c r="C213" s="460" t="s">
        <v>109</v>
      </c>
      <c r="D213" s="460"/>
    </row>
    <row r="214" spans="1:4" ht="15" hidden="1" customHeight="1" x14ac:dyDescent="0.25">
      <c r="A214" s="309" t="s">
        <v>98</v>
      </c>
      <c r="B214" s="187">
        <v>3.3</v>
      </c>
      <c r="C214" s="457">
        <f>IF('5. Engrais defini par l''utilisa'!E146="Y",B214,)</f>
        <v>0</v>
      </c>
      <c r="D214" s="457"/>
    </row>
    <row r="215" spans="1:4" ht="15" hidden="1" customHeight="1" x14ac:dyDescent="0.25">
      <c r="A215" s="309" t="s">
        <v>99</v>
      </c>
      <c r="B215" s="309">
        <v>8.5</v>
      </c>
      <c r="C215" s="457">
        <f>IF('5. Engrais defini par l''utilisa'!F146="Y",B215,)</f>
        <v>0</v>
      </c>
      <c r="D215" s="457"/>
    </row>
    <row r="216" spans="1:4" ht="15" hidden="1" customHeight="1" x14ac:dyDescent="0.25">
      <c r="A216" s="309" t="s">
        <v>100</v>
      </c>
      <c r="B216" s="309">
        <v>2.7</v>
      </c>
      <c r="C216" s="457">
        <f>IF('5. Engrais defini par l''utilisa'!G146="Y",B216,)</f>
        <v>0</v>
      </c>
      <c r="D216" s="457"/>
    </row>
    <row r="217" spans="1:4" ht="15" hidden="1" customHeight="1" x14ac:dyDescent="0.25">
      <c r="A217" s="309" t="s">
        <v>101</v>
      </c>
      <c r="B217" s="309">
        <v>1</v>
      </c>
      <c r="C217" s="457">
        <f>IF('5. Engrais defini par l''utilisa'!H146="Y",B217,)</f>
        <v>0</v>
      </c>
      <c r="D217" s="457"/>
    </row>
    <row r="218" spans="1:4" ht="15" hidden="1" customHeight="1" x14ac:dyDescent="0.25">
      <c r="A218" s="309" t="s">
        <v>102</v>
      </c>
      <c r="B218" s="309">
        <v>7</v>
      </c>
      <c r="C218" s="457">
        <f>IF('5. Engrais defini par l''utilisa'!I146="Y",B218,)</f>
        <v>0</v>
      </c>
      <c r="D218" s="457"/>
    </row>
    <row r="219" spans="1:4" ht="15" hidden="1" customHeight="1" x14ac:dyDescent="0.25">
      <c r="A219" s="309" t="s">
        <v>110</v>
      </c>
      <c r="B219" s="309">
        <f>AVERAGE(B214:B218)</f>
        <v>4.5</v>
      </c>
      <c r="C219" s="457">
        <f>SUM(C214:D218)</f>
        <v>0</v>
      </c>
      <c r="D219" s="457"/>
    </row>
    <row r="220" spans="1:4" ht="15" hidden="1" customHeight="1" x14ac:dyDescent="0.25">
      <c r="A220" s="309"/>
      <c r="B220" s="309"/>
      <c r="C220" s="459">
        <f>IF(C219=0, B219, C219)</f>
        <v>4.5</v>
      </c>
      <c r="D220" s="459"/>
    </row>
    <row r="221" spans="1:4" ht="15" hidden="1" customHeight="1" x14ac:dyDescent="0.25">
      <c r="A221" s="309"/>
      <c r="B221" s="309"/>
      <c r="C221" s="458"/>
      <c r="D221" s="458"/>
    </row>
    <row r="222" spans="1:4" ht="15" hidden="1" customHeight="1" x14ac:dyDescent="0.25">
      <c r="A222" s="309" t="s">
        <v>103</v>
      </c>
      <c r="B222" s="309">
        <v>2.7</v>
      </c>
      <c r="C222" s="457">
        <f>IF('5. Engrais defini par l''utilisa'!E148="Y",B222,)</f>
        <v>0</v>
      </c>
      <c r="D222" s="457"/>
    </row>
    <row r="223" spans="1:4" ht="15" hidden="1" customHeight="1" x14ac:dyDescent="0.25">
      <c r="A223" s="309" t="s">
        <v>104</v>
      </c>
      <c r="B223" s="309">
        <v>2</v>
      </c>
      <c r="C223" s="457">
        <f>IF('5. Engrais defini par l''utilisa'!F148="Y",B223,)</f>
        <v>0</v>
      </c>
      <c r="D223" s="457"/>
    </row>
    <row r="224" spans="1:4" ht="15" hidden="1" customHeight="1" x14ac:dyDescent="0.25">
      <c r="A224" s="309" t="s">
        <v>111</v>
      </c>
      <c r="B224" s="309">
        <v>0.2</v>
      </c>
      <c r="C224" s="457">
        <f>IF('5. Engrais defini par l''utilisa'!G148="Y",B224,)</f>
        <v>0</v>
      </c>
      <c r="D224" s="457"/>
    </row>
    <row r="225" spans="1:4" ht="15" hidden="1" customHeight="1" x14ac:dyDescent="0.25">
      <c r="A225" s="309" t="s">
        <v>112</v>
      </c>
      <c r="B225" s="187">
        <f>AVERAGE(B222:B224)</f>
        <v>1.6333333333333335</v>
      </c>
      <c r="C225" s="457">
        <f>SUM(C222:D224)</f>
        <v>0</v>
      </c>
      <c r="D225" s="457"/>
    </row>
    <row r="226" spans="1:4" ht="15" hidden="1" customHeight="1" x14ac:dyDescent="0.25">
      <c r="A226" s="309"/>
      <c r="B226" s="309"/>
      <c r="C226" s="459">
        <f>IF(C225=0, B225, C225)</f>
        <v>1.6333333333333335</v>
      </c>
      <c r="D226" s="459"/>
    </row>
    <row r="227" spans="1:4" ht="15" hidden="1" customHeight="1" x14ac:dyDescent="0.25">
      <c r="A227" s="309"/>
      <c r="B227" s="309"/>
      <c r="C227" s="458"/>
      <c r="D227" s="458"/>
    </row>
    <row r="228" spans="1:4" ht="15" hidden="1" customHeight="1" x14ac:dyDescent="0.25">
      <c r="A228" s="309" t="s">
        <v>105</v>
      </c>
      <c r="B228" s="309">
        <v>0.5</v>
      </c>
      <c r="C228" s="457">
        <f>IF('5. Engrais defini par l''utilisa'!E150="Y",B228,)</f>
        <v>0</v>
      </c>
      <c r="D228" s="457"/>
    </row>
    <row r="229" spans="1:4" ht="15" hidden="1" customHeight="1" x14ac:dyDescent="0.25">
      <c r="A229" s="309" t="s">
        <v>106</v>
      </c>
      <c r="B229" s="309">
        <v>1.4</v>
      </c>
      <c r="C229" s="457">
        <f>IF('5. Engrais defini par l''utilisa'!F150="Y",B229,)</f>
        <v>0</v>
      </c>
      <c r="D229" s="457"/>
    </row>
    <row r="230" spans="1:4" ht="15" hidden="1" customHeight="1" x14ac:dyDescent="0.25">
      <c r="A230" s="309" t="s">
        <v>113</v>
      </c>
      <c r="B230" s="187">
        <f>AVERAGE(B228:B229)</f>
        <v>0.95</v>
      </c>
      <c r="C230" s="457">
        <f>SUM(C228:D229)</f>
        <v>0</v>
      </c>
      <c r="D230" s="457"/>
    </row>
    <row r="231" spans="1:4" ht="15" hidden="1" customHeight="1" x14ac:dyDescent="0.25">
      <c r="A231" s="309"/>
      <c r="B231" s="309"/>
      <c r="C231" s="456">
        <f>IF(C230=0, B230, C230)</f>
        <v>0.95</v>
      </c>
      <c r="D231" s="456"/>
    </row>
    <row r="232" spans="1:4" ht="15" hidden="1" customHeight="1" x14ac:dyDescent="0.25">
      <c r="A232" s="309"/>
      <c r="B232" s="309"/>
      <c r="C232" s="458"/>
      <c r="D232" s="458"/>
    </row>
    <row r="233" spans="1:4" ht="15" hidden="1" customHeight="1" x14ac:dyDescent="0.25">
      <c r="A233" s="309" t="s">
        <v>114</v>
      </c>
      <c r="B233" s="309"/>
      <c r="C233" s="456">
        <v>0.9</v>
      </c>
      <c r="D233" s="456"/>
    </row>
    <row r="234" spans="1:4" ht="15" hidden="1" customHeight="1" x14ac:dyDescent="0.25">
      <c r="A234" s="309" t="s">
        <v>115</v>
      </c>
      <c r="B234" s="309"/>
      <c r="C234" s="456">
        <v>1</v>
      </c>
      <c r="D234" s="456"/>
    </row>
    <row r="235" spans="1:4" ht="15" hidden="1" customHeight="1" x14ac:dyDescent="0.25">
      <c r="A235" s="309" t="s">
        <v>116</v>
      </c>
      <c r="B235" s="309"/>
      <c r="C235" s="456"/>
      <c r="D235" s="456"/>
    </row>
    <row r="236" spans="1:4" ht="15" hidden="1" customHeight="1" x14ac:dyDescent="0.25">
      <c r="A236" s="309" t="s">
        <v>117</v>
      </c>
      <c r="B236" s="309"/>
      <c r="C236" s="456">
        <v>1.9</v>
      </c>
      <c r="D236" s="456"/>
    </row>
    <row r="237" spans="1:4" ht="15" hidden="1" customHeight="1" x14ac:dyDescent="0.25">
      <c r="A237" s="309" t="s">
        <v>118</v>
      </c>
      <c r="B237" s="309"/>
      <c r="C237" s="456">
        <v>0.2</v>
      </c>
      <c r="D237" s="456"/>
    </row>
    <row r="238" spans="1:4" ht="15" hidden="1" customHeight="1" x14ac:dyDescent="0.25">
      <c r="A238" s="309" t="s">
        <v>119</v>
      </c>
      <c r="B238" s="309"/>
      <c r="C238" s="456">
        <v>1.8</v>
      </c>
      <c r="D238" s="456"/>
    </row>
    <row r="239" spans="1:4" ht="15" hidden="1" customHeight="1" x14ac:dyDescent="0.25">
      <c r="A239" s="309" t="s">
        <v>120</v>
      </c>
      <c r="B239" s="309"/>
      <c r="C239" s="456">
        <v>2.9</v>
      </c>
      <c r="D239" s="456"/>
    </row>
    <row r="240" spans="1:4" ht="15" hidden="1" customHeight="1" x14ac:dyDescent="0.25"/>
    <row r="241" spans="1:4" ht="15" hidden="1" customHeight="1" x14ac:dyDescent="0.25">
      <c r="A241" s="308" t="s">
        <v>156</v>
      </c>
      <c r="B241" s="308"/>
      <c r="C241" s="308"/>
      <c r="D241" s="308"/>
    </row>
    <row r="242" spans="1:4" ht="15" hidden="1" customHeight="1" x14ac:dyDescent="0.25">
      <c r="A242" s="309"/>
      <c r="B242" s="36" t="s">
        <v>108</v>
      </c>
      <c r="C242" s="460" t="s">
        <v>109</v>
      </c>
      <c r="D242" s="460"/>
    </row>
    <row r="243" spans="1:4" ht="15" hidden="1" customHeight="1" x14ac:dyDescent="0.25">
      <c r="A243" s="309" t="s">
        <v>98</v>
      </c>
      <c r="B243" s="187">
        <v>3.3</v>
      </c>
      <c r="C243" s="457">
        <f>IF('5. Engrais defini par l''utilisa'!E172="Y",B243,)</f>
        <v>0</v>
      </c>
      <c r="D243" s="457"/>
    </row>
    <row r="244" spans="1:4" ht="15" hidden="1" customHeight="1" x14ac:dyDescent="0.25">
      <c r="A244" s="309" t="s">
        <v>99</v>
      </c>
      <c r="B244" s="309">
        <v>8.5</v>
      </c>
      <c r="C244" s="457">
        <f>IF('5. Engrais defini par l''utilisa'!F172="Y",B244,)</f>
        <v>0</v>
      </c>
      <c r="D244" s="457"/>
    </row>
    <row r="245" spans="1:4" ht="15" hidden="1" customHeight="1" x14ac:dyDescent="0.25">
      <c r="A245" s="309" t="s">
        <v>100</v>
      </c>
      <c r="B245" s="309">
        <v>2.7</v>
      </c>
      <c r="C245" s="457">
        <f>IF('5. Engrais defini par l''utilisa'!G172="Y",B245,)</f>
        <v>0</v>
      </c>
      <c r="D245" s="457"/>
    </row>
    <row r="246" spans="1:4" ht="15" hidden="1" customHeight="1" x14ac:dyDescent="0.25">
      <c r="A246" s="309" t="s">
        <v>101</v>
      </c>
      <c r="B246" s="309">
        <v>1</v>
      </c>
      <c r="C246" s="457">
        <f>IF('5. Engrais defini par l''utilisa'!H172="Y",B246,)</f>
        <v>0</v>
      </c>
      <c r="D246" s="457"/>
    </row>
    <row r="247" spans="1:4" ht="15" hidden="1" customHeight="1" x14ac:dyDescent="0.25">
      <c r="A247" s="309" t="s">
        <v>102</v>
      </c>
      <c r="B247" s="309">
        <v>7</v>
      </c>
      <c r="C247" s="457">
        <f>IF('5. Engrais defini par l''utilisa'!I172="Y",B247,)</f>
        <v>0</v>
      </c>
      <c r="D247" s="457"/>
    </row>
    <row r="248" spans="1:4" ht="15" hidden="1" customHeight="1" x14ac:dyDescent="0.25">
      <c r="A248" s="309" t="s">
        <v>110</v>
      </c>
      <c r="B248" s="309">
        <f>AVERAGE(B243:B247)</f>
        <v>4.5</v>
      </c>
      <c r="C248" s="457">
        <f>SUM(C243:D247)</f>
        <v>0</v>
      </c>
      <c r="D248" s="457"/>
    </row>
    <row r="249" spans="1:4" ht="15" hidden="1" customHeight="1" x14ac:dyDescent="0.25">
      <c r="A249" s="309"/>
      <c r="B249" s="309"/>
      <c r="C249" s="459">
        <f>IF(C248=0, B248, C248)</f>
        <v>4.5</v>
      </c>
      <c r="D249" s="459"/>
    </row>
    <row r="250" spans="1:4" ht="15" hidden="1" customHeight="1" x14ac:dyDescent="0.25">
      <c r="A250" s="309"/>
      <c r="B250" s="309"/>
      <c r="C250" s="458"/>
      <c r="D250" s="458"/>
    </row>
    <row r="251" spans="1:4" ht="15" hidden="1" customHeight="1" x14ac:dyDescent="0.25">
      <c r="A251" s="309" t="s">
        <v>103</v>
      </c>
      <c r="B251" s="309">
        <v>2.7</v>
      </c>
      <c r="C251" s="457">
        <f>IF('5. Engrais defini par l''utilisa'!E174="Y",B251,)</f>
        <v>0</v>
      </c>
      <c r="D251" s="457"/>
    </row>
    <row r="252" spans="1:4" ht="15" hidden="1" customHeight="1" x14ac:dyDescent="0.25">
      <c r="A252" s="309" t="s">
        <v>104</v>
      </c>
      <c r="B252" s="309">
        <v>2</v>
      </c>
      <c r="C252" s="457">
        <f>IF('5. Engrais defini par l''utilisa'!F174="Y",B252,)</f>
        <v>0</v>
      </c>
      <c r="D252" s="457"/>
    </row>
    <row r="253" spans="1:4" ht="15" hidden="1" customHeight="1" x14ac:dyDescent="0.25">
      <c r="A253" s="309" t="s">
        <v>111</v>
      </c>
      <c r="B253" s="309">
        <v>0.2</v>
      </c>
      <c r="C253" s="457">
        <f>IF('5. Engrais defini par l''utilisa'!G174="Y",B253,)</f>
        <v>0</v>
      </c>
      <c r="D253" s="457"/>
    </row>
    <row r="254" spans="1:4" ht="15" hidden="1" customHeight="1" x14ac:dyDescent="0.25">
      <c r="A254" s="309" t="s">
        <v>112</v>
      </c>
      <c r="B254" s="187">
        <f>AVERAGE(B251:B253)</f>
        <v>1.6333333333333335</v>
      </c>
      <c r="C254" s="457">
        <f>SUM(C251:D253)</f>
        <v>0</v>
      </c>
      <c r="D254" s="457"/>
    </row>
    <row r="255" spans="1:4" ht="15" hidden="1" customHeight="1" x14ac:dyDescent="0.25">
      <c r="A255" s="309"/>
      <c r="B255" s="309"/>
      <c r="C255" s="459">
        <f>IF(C254=0, B254, C254)</f>
        <v>1.6333333333333335</v>
      </c>
      <c r="D255" s="459"/>
    </row>
    <row r="256" spans="1:4" ht="15" hidden="1" customHeight="1" x14ac:dyDescent="0.25">
      <c r="A256" s="309"/>
      <c r="B256" s="309"/>
      <c r="C256" s="458"/>
      <c r="D256" s="458"/>
    </row>
    <row r="257" spans="1:4" ht="15" hidden="1" customHeight="1" x14ac:dyDescent="0.25">
      <c r="A257" s="309" t="s">
        <v>105</v>
      </c>
      <c r="B257" s="309">
        <v>0.5</v>
      </c>
      <c r="C257" s="457">
        <f>IF('5. Engrais defini par l''utilisa'!E176="Y",B257,)</f>
        <v>0</v>
      </c>
      <c r="D257" s="457"/>
    </row>
    <row r="258" spans="1:4" ht="15" hidden="1" customHeight="1" x14ac:dyDescent="0.25">
      <c r="A258" s="309" t="s">
        <v>106</v>
      </c>
      <c r="B258" s="309">
        <v>1.4</v>
      </c>
      <c r="C258" s="457">
        <f>IF('5. Engrais defini par l''utilisa'!F176="Y",B258,)</f>
        <v>0</v>
      </c>
      <c r="D258" s="457"/>
    </row>
    <row r="259" spans="1:4" ht="15" hidden="1" customHeight="1" x14ac:dyDescent="0.25">
      <c r="A259" s="309" t="s">
        <v>113</v>
      </c>
      <c r="B259" s="187">
        <f>AVERAGE(B257:B258)</f>
        <v>0.95</v>
      </c>
      <c r="C259" s="457">
        <f>SUM(C257:D258)</f>
        <v>0</v>
      </c>
      <c r="D259" s="457"/>
    </row>
    <row r="260" spans="1:4" ht="15" hidden="1" customHeight="1" x14ac:dyDescent="0.25">
      <c r="A260" s="309"/>
      <c r="B260" s="309"/>
      <c r="C260" s="456">
        <f>IF(C259=0, B259, C259)</f>
        <v>0.95</v>
      </c>
      <c r="D260" s="456"/>
    </row>
    <row r="261" spans="1:4" ht="15" hidden="1" customHeight="1" x14ac:dyDescent="0.25">
      <c r="A261" s="309"/>
      <c r="B261" s="309"/>
      <c r="C261" s="458"/>
      <c r="D261" s="458"/>
    </row>
    <row r="262" spans="1:4" ht="15" hidden="1" customHeight="1" x14ac:dyDescent="0.25">
      <c r="A262" s="309" t="s">
        <v>114</v>
      </c>
      <c r="B262" s="309"/>
      <c r="C262" s="456">
        <v>0.9</v>
      </c>
      <c r="D262" s="456"/>
    </row>
    <row r="263" spans="1:4" ht="15" hidden="1" customHeight="1" x14ac:dyDescent="0.25">
      <c r="A263" s="309" t="s">
        <v>115</v>
      </c>
      <c r="B263" s="309"/>
      <c r="C263" s="456">
        <v>1</v>
      </c>
      <c r="D263" s="456"/>
    </row>
    <row r="264" spans="1:4" ht="15" hidden="1" customHeight="1" x14ac:dyDescent="0.25">
      <c r="A264" s="309" t="s">
        <v>116</v>
      </c>
      <c r="B264" s="309"/>
      <c r="C264" s="456"/>
      <c r="D264" s="456"/>
    </row>
    <row r="265" spans="1:4" ht="15" hidden="1" customHeight="1" x14ac:dyDescent="0.25">
      <c r="A265" s="309" t="s">
        <v>117</v>
      </c>
      <c r="B265" s="309"/>
      <c r="C265" s="456">
        <v>1.9</v>
      </c>
      <c r="D265" s="456"/>
    </row>
    <row r="266" spans="1:4" ht="15" hidden="1" customHeight="1" x14ac:dyDescent="0.25">
      <c r="A266" s="309" t="s">
        <v>118</v>
      </c>
      <c r="B266" s="309"/>
      <c r="C266" s="456">
        <v>0.2</v>
      </c>
      <c r="D266" s="456"/>
    </row>
    <row r="267" spans="1:4" ht="15" hidden="1" customHeight="1" x14ac:dyDescent="0.25">
      <c r="A267" s="309" t="s">
        <v>119</v>
      </c>
      <c r="B267" s="309"/>
      <c r="C267" s="456">
        <v>1.8</v>
      </c>
      <c r="D267" s="456"/>
    </row>
    <row r="268" spans="1:4" ht="15" hidden="1" customHeight="1" x14ac:dyDescent="0.25">
      <c r="A268" s="309" t="s">
        <v>120</v>
      </c>
      <c r="B268" s="309"/>
      <c r="C268" s="456">
        <v>2.9</v>
      </c>
      <c r="D268" s="456"/>
    </row>
    <row r="269" spans="1:4" ht="15" hidden="1" customHeight="1" x14ac:dyDescent="0.25"/>
    <row r="270" spans="1:4" ht="15" hidden="1" customHeight="1" x14ac:dyDescent="0.25">
      <c r="A270" s="308" t="s">
        <v>157</v>
      </c>
      <c r="B270" s="308"/>
      <c r="C270" s="308"/>
      <c r="D270" s="308"/>
    </row>
    <row r="271" spans="1:4" ht="15" hidden="1" customHeight="1" x14ac:dyDescent="0.25">
      <c r="A271" s="309"/>
      <c r="B271" s="36" t="s">
        <v>108</v>
      </c>
      <c r="C271" s="460" t="s">
        <v>109</v>
      </c>
      <c r="D271" s="460"/>
    </row>
    <row r="272" spans="1:4" ht="15" hidden="1" customHeight="1" x14ac:dyDescent="0.25">
      <c r="A272" s="309" t="s">
        <v>98</v>
      </c>
      <c r="B272" s="187">
        <v>3.3</v>
      </c>
      <c r="C272" s="457">
        <f>IF('5. Engrais defini par l''utilisa'!E198="Y",B272,)</f>
        <v>0</v>
      </c>
      <c r="D272" s="457"/>
    </row>
    <row r="273" spans="1:4" ht="15" hidden="1" customHeight="1" x14ac:dyDescent="0.25">
      <c r="A273" s="309" t="s">
        <v>99</v>
      </c>
      <c r="B273" s="309">
        <v>8.5</v>
      </c>
      <c r="C273" s="457">
        <f>IF('5. Engrais defini par l''utilisa'!F198="Y",B273,)</f>
        <v>0</v>
      </c>
      <c r="D273" s="457"/>
    </row>
    <row r="274" spans="1:4" ht="15" hidden="1" customHeight="1" x14ac:dyDescent="0.25">
      <c r="A274" s="309" t="s">
        <v>100</v>
      </c>
      <c r="B274" s="309">
        <v>2.7</v>
      </c>
      <c r="C274" s="457">
        <f>IF('5. Engrais defini par l''utilisa'!G198="Y",B274,)</f>
        <v>0</v>
      </c>
      <c r="D274" s="457"/>
    </row>
    <row r="275" spans="1:4" ht="15" hidden="1" customHeight="1" x14ac:dyDescent="0.25">
      <c r="A275" s="309" t="s">
        <v>101</v>
      </c>
      <c r="B275" s="309">
        <v>1</v>
      </c>
      <c r="C275" s="457">
        <f>IF('5. Engrais defini par l''utilisa'!H198="Y",B275,)</f>
        <v>0</v>
      </c>
      <c r="D275" s="457"/>
    </row>
    <row r="276" spans="1:4" ht="15" hidden="1" customHeight="1" x14ac:dyDescent="0.25">
      <c r="A276" s="309" t="s">
        <v>102</v>
      </c>
      <c r="B276" s="309">
        <v>7</v>
      </c>
      <c r="C276" s="457">
        <f>IF('5. Engrais defini par l''utilisa'!I198="Y",B276,)</f>
        <v>0</v>
      </c>
      <c r="D276" s="457"/>
    </row>
    <row r="277" spans="1:4" ht="15" hidden="1" customHeight="1" x14ac:dyDescent="0.25">
      <c r="A277" s="309" t="s">
        <v>110</v>
      </c>
      <c r="B277" s="309">
        <f>AVERAGE(B272:B276)</f>
        <v>4.5</v>
      </c>
      <c r="C277" s="457">
        <f>SUM(C272:D276)</f>
        <v>0</v>
      </c>
      <c r="D277" s="457"/>
    </row>
    <row r="278" spans="1:4" ht="15" hidden="1" customHeight="1" x14ac:dyDescent="0.25">
      <c r="A278" s="309"/>
      <c r="B278" s="309"/>
      <c r="C278" s="459">
        <f>IF(C277=0, B277, C277)</f>
        <v>4.5</v>
      </c>
      <c r="D278" s="459"/>
    </row>
    <row r="279" spans="1:4" ht="15" hidden="1" customHeight="1" x14ac:dyDescent="0.25">
      <c r="A279" s="309"/>
      <c r="B279" s="309"/>
      <c r="C279" s="458"/>
      <c r="D279" s="458"/>
    </row>
    <row r="280" spans="1:4" ht="15" hidden="1" customHeight="1" x14ac:dyDescent="0.25">
      <c r="A280" s="309" t="s">
        <v>103</v>
      </c>
      <c r="B280" s="309">
        <v>2.7</v>
      </c>
      <c r="C280" s="457">
        <f>IF('5. Engrais defini par l''utilisa'!E200="Y",B280,)</f>
        <v>0</v>
      </c>
      <c r="D280" s="457"/>
    </row>
    <row r="281" spans="1:4" ht="15" hidden="1" customHeight="1" x14ac:dyDescent="0.25">
      <c r="A281" s="309" t="s">
        <v>104</v>
      </c>
      <c r="B281" s="309">
        <v>2</v>
      </c>
      <c r="C281" s="457">
        <f>IF('5. Engrais defini par l''utilisa'!F200="Y",B281,)</f>
        <v>0</v>
      </c>
      <c r="D281" s="457"/>
    </row>
    <row r="282" spans="1:4" ht="15" hidden="1" customHeight="1" x14ac:dyDescent="0.25">
      <c r="A282" s="309" t="s">
        <v>111</v>
      </c>
      <c r="B282" s="309">
        <v>0.2</v>
      </c>
      <c r="C282" s="457">
        <f>IF('5. Engrais defini par l''utilisa'!G200="Y",B282,)</f>
        <v>0</v>
      </c>
      <c r="D282" s="457"/>
    </row>
    <row r="283" spans="1:4" ht="15" hidden="1" customHeight="1" x14ac:dyDescent="0.25">
      <c r="A283" s="309" t="s">
        <v>112</v>
      </c>
      <c r="B283" s="187">
        <f>AVERAGE(B280:B282)</f>
        <v>1.6333333333333335</v>
      </c>
      <c r="C283" s="457">
        <f>SUM(C280:D282)</f>
        <v>0</v>
      </c>
      <c r="D283" s="457"/>
    </row>
    <row r="284" spans="1:4" ht="15" hidden="1" customHeight="1" x14ac:dyDescent="0.25">
      <c r="A284" s="309"/>
      <c r="B284" s="309"/>
      <c r="C284" s="459">
        <f>IF(C283=0, B283, C283)</f>
        <v>1.6333333333333335</v>
      </c>
      <c r="D284" s="459"/>
    </row>
    <row r="285" spans="1:4" ht="15" hidden="1" customHeight="1" x14ac:dyDescent="0.25">
      <c r="A285" s="309"/>
      <c r="B285" s="309"/>
      <c r="C285" s="458"/>
      <c r="D285" s="458"/>
    </row>
    <row r="286" spans="1:4" ht="15" hidden="1" customHeight="1" x14ac:dyDescent="0.25">
      <c r="A286" s="309" t="s">
        <v>105</v>
      </c>
      <c r="B286" s="309">
        <v>0.5</v>
      </c>
      <c r="C286" s="457">
        <f>IF('5. Engrais defini par l''utilisa'!E202="Y",B286,)</f>
        <v>0</v>
      </c>
      <c r="D286" s="457"/>
    </row>
    <row r="287" spans="1:4" ht="15" hidden="1" customHeight="1" x14ac:dyDescent="0.25">
      <c r="A287" s="309" t="s">
        <v>106</v>
      </c>
      <c r="B287" s="309">
        <v>1.4</v>
      </c>
      <c r="C287" s="457">
        <f>IF('5. Engrais defini par l''utilisa'!F202="Y",B287,)</f>
        <v>0</v>
      </c>
      <c r="D287" s="457"/>
    </row>
    <row r="288" spans="1:4" ht="15" hidden="1" customHeight="1" x14ac:dyDescent="0.25">
      <c r="A288" s="309" t="s">
        <v>113</v>
      </c>
      <c r="B288" s="187">
        <f>AVERAGE(B286:B287)</f>
        <v>0.95</v>
      </c>
      <c r="C288" s="457">
        <f>SUM(C286:D287)</f>
        <v>0</v>
      </c>
      <c r="D288" s="457"/>
    </row>
    <row r="289" spans="1:4" ht="15" hidden="1" customHeight="1" x14ac:dyDescent="0.25">
      <c r="A289" s="309"/>
      <c r="B289" s="309"/>
      <c r="C289" s="456">
        <f>IF(C288=0, B288, C288)</f>
        <v>0.95</v>
      </c>
      <c r="D289" s="456"/>
    </row>
    <row r="290" spans="1:4" ht="15" hidden="1" customHeight="1" x14ac:dyDescent="0.25">
      <c r="A290" s="309"/>
      <c r="B290" s="309"/>
      <c r="C290" s="458"/>
      <c r="D290" s="458"/>
    </row>
    <row r="291" spans="1:4" ht="15" hidden="1" customHeight="1" x14ac:dyDescent="0.25">
      <c r="A291" s="309" t="s">
        <v>114</v>
      </c>
      <c r="B291" s="309"/>
      <c r="C291" s="456">
        <v>0.9</v>
      </c>
      <c r="D291" s="456"/>
    </row>
    <row r="292" spans="1:4" ht="15" hidden="1" customHeight="1" x14ac:dyDescent="0.25">
      <c r="A292" s="309" t="s">
        <v>115</v>
      </c>
      <c r="B292" s="309"/>
      <c r="C292" s="456">
        <v>1</v>
      </c>
      <c r="D292" s="456"/>
    </row>
    <row r="293" spans="1:4" ht="15" hidden="1" customHeight="1" x14ac:dyDescent="0.25">
      <c r="A293" s="309" t="s">
        <v>116</v>
      </c>
      <c r="B293" s="309"/>
      <c r="C293" s="456"/>
      <c r="D293" s="456"/>
    </row>
    <row r="294" spans="1:4" ht="15" hidden="1" customHeight="1" x14ac:dyDescent="0.25">
      <c r="A294" s="309" t="s">
        <v>117</v>
      </c>
      <c r="B294" s="309"/>
      <c r="C294" s="456">
        <v>1.9</v>
      </c>
      <c r="D294" s="456"/>
    </row>
    <row r="295" spans="1:4" ht="15" hidden="1" customHeight="1" x14ac:dyDescent="0.25">
      <c r="A295" s="309" t="s">
        <v>118</v>
      </c>
      <c r="B295" s="309"/>
      <c r="C295" s="456">
        <v>0.2</v>
      </c>
      <c r="D295" s="456"/>
    </row>
    <row r="296" spans="1:4" ht="15" hidden="1" customHeight="1" x14ac:dyDescent="0.25">
      <c r="A296" s="309" t="s">
        <v>119</v>
      </c>
      <c r="B296" s="309"/>
      <c r="C296" s="456">
        <v>1.8</v>
      </c>
      <c r="D296" s="456"/>
    </row>
    <row r="297" spans="1:4" ht="15" hidden="1" customHeight="1" x14ac:dyDescent="0.25">
      <c r="A297" s="309" t="s">
        <v>120</v>
      </c>
      <c r="B297" s="309"/>
      <c r="C297" s="456">
        <v>2.9</v>
      </c>
      <c r="D297" s="456"/>
    </row>
    <row r="298" spans="1:4" ht="15" hidden="1" customHeight="1" x14ac:dyDescent="0.25"/>
    <row r="299" spans="1:4" ht="15" hidden="1" customHeight="1" x14ac:dyDescent="0.25">
      <c r="A299" s="308" t="s">
        <v>158</v>
      </c>
      <c r="B299" s="308"/>
      <c r="C299" s="308"/>
      <c r="D299" s="308"/>
    </row>
    <row r="300" spans="1:4" ht="15" hidden="1" customHeight="1" x14ac:dyDescent="0.25">
      <c r="A300" s="309"/>
      <c r="B300" s="36" t="s">
        <v>108</v>
      </c>
      <c r="C300" s="460" t="s">
        <v>109</v>
      </c>
      <c r="D300" s="460"/>
    </row>
    <row r="301" spans="1:4" ht="15" hidden="1" customHeight="1" x14ac:dyDescent="0.25">
      <c r="A301" s="309" t="s">
        <v>98</v>
      </c>
      <c r="B301" s="187">
        <v>3.3</v>
      </c>
      <c r="C301" s="457">
        <f>IF('5. Engrais defini par l''utilisa'!E224="Y",B301,)</f>
        <v>0</v>
      </c>
      <c r="D301" s="457"/>
    </row>
    <row r="302" spans="1:4" ht="15" hidden="1" customHeight="1" x14ac:dyDescent="0.25">
      <c r="A302" s="309" t="s">
        <v>99</v>
      </c>
      <c r="B302" s="309">
        <v>8.5</v>
      </c>
      <c r="C302" s="457">
        <f>IF('5. Engrais defini par l''utilisa'!F224="Y",B302,)</f>
        <v>0</v>
      </c>
      <c r="D302" s="457"/>
    </row>
    <row r="303" spans="1:4" ht="15" hidden="1" customHeight="1" x14ac:dyDescent="0.25">
      <c r="A303" s="309" t="s">
        <v>100</v>
      </c>
      <c r="B303" s="309">
        <v>2.7</v>
      </c>
      <c r="C303" s="457">
        <f>IF('5. Engrais defini par l''utilisa'!G224="Y",B303,)</f>
        <v>0</v>
      </c>
      <c r="D303" s="457"/>
    </row>
    <row r="304" spans="1:4" ht="15" hidden="1" customHeight="1" x14ac:dyDescent="0.25">
      <c r="A304" s="309" t="s">
        <v>101</v>
      </c>
      <c r="B304" s="309">
        <v>1</v>
      </c>
      <c r="C304" s="457">
        <f>IF('5. Engrais defini par l''utilisa'!H224="Y",B304,)</f>
        <v>0</v>
      </c>
      <c r="D304" s="457"/>
    </row>
    <row r="305" spans="1:4" ht="15" hidden="1" customHeight="1" x14ac:dyDescent="0.25">
      <c r="A305" s="309" t="s">
        <v>102</v>
      </c>
      <c r="B305" s="309">
        <v>7</v>
      </c>
      <c r="C305" s="457">
        <f>IF('5. Engrais defini par l''utilisa'!I224="Y",B305,)</f>
        <v>0</v>
      </c>
      <c r="D305" s="457"/>
    </row>
    <row r="306" spans="1:4" ht="15" hidden="1" customHeight="1" x14ac:dyDescent="0.25">
      <c r="A306" s="309" t="s">
        <v>110</v>
      </c>
      <c r="B306" s="309">
        <f>AVERAGE(B301:B305)</f>
        <v>4.5</v>
      </c>
      <c r="C306" s="457">
        <f>SUM(C301:D305)</f>
        <v>0</v>
      </c>
      <c r="D306" s="457"/>
    </row>
    <row r="307" spans="1:4" ht="15" hidden="1" customHeight="1" x14ac:dyDescent="0.25">
      <c r="A307" s="309"/>
      <c r="B307" s="309"/>
      <c r="C307" s="459">
        <f>IF(C306=0, B306, C306)</f>
        <v>4.5</v>
      </c>
      <c r="D307" s="459"/>
    </row>
    <row r="308" spans="1:4" ht="15" hidden="1" customHeight="1" x14ac:dyDescent="0.25">
      <c r="A308" s="309"/>
      <c r="B308" s="309"/>
      <c r="C308" s="458"/>
      <c r="D308" s="458"/>
    </row>
    <row r="309" spans="1:4" ht="15" hidden="1" customHeight="1" x14ac:dyDescent="0.25">
      <c r="A309" s="309" t="s">
        <v>103</v>
      </c>
      <c r="B309" s="309">
        <v>2.7</v>
      </c>
      <c r="C309" s="457">
        <f>IF('5. Engrais defini par l''utilisa'!E226="Y",B309,)</f>
        <v>0</v>
      </c>
      <c r="D309" s="457"/>
    </row>
    <row r="310" spans="1:4" ht="15" hidden="1" customHeight="1" x14ac:dyDescent="0.25">
      <c r="A310" s="309" t="s">
        <v>104</v>
      </c>
      <c r="B310" s="309">
        <v>2</v>
      </c>
      <c r="C310" s="457">
        <f>IF('5. Engrais defini par l''utilisa'!F226="Y",B310,)</f>
        <v>0</v>
      </c>
      <c r="D310" s="457"/>
    </row>
    <row r="311" spans="1:4" ht="15" hidden="1" customHeight="1" x14ac:dyDescent="0.25">
      <c r="A311" s="309" t="s">
        <v>111</v>
      </c>
      <c r="B311" s="309">
        <v>0.2</v>
      </c>
      <c r="C311" s="457">
        <f>IF('5. Engrais defini par l''utilisa'!G226="Y",B311,)</f>
        <v>0</v>
      </c>
      <c r="D311" s="457"/>
    </row>
    <row r="312" spans="1:4" ht="15" hidden="1" customHeight="1" x14ac:dyDescent="0.25">
      <c r="A312" s="309" t="s">
        <v>112</v>
      </c>
      <c r="B312" s="187">
        <f>AVERAGE(B309:B311)</f>
        <v>1.6333333333333335</v>
      </c>
      <c r="C312" s="457">
        <f>SUM(C309:D311)</f>
        <v>0</v>
      </c>
      <c r="D312" s="457"/>
    </row>
    <row r="313" spans="1:4" ht="15" hidden="1" customHeight="1" x14ac:dyDescent="0.25">
      <c r="A313" s="309"/>
      <c r="B313" s="309"/>
      <c r="C313" s="459">
        <f>IF(C312=0, B312, C312)</f>
        <v>1.6333333333333335</v>
      </c>
      <c r="D313" s="459"/>
    </row>
    <row r="314" spans="1:4" ht="15" hidden="1" customHeight="1" x14ac:dyDescent="0.25">
      <c r="A314" s="309"/>
      <c r="B314" s="309"/>
      <c r="C314" s="458"/>
      <c r="D314" s="458"/>
    </row>
    <row r="315" spans="1:4" ht="15" hidden="1" customHeight="1" x14ac:dyDescent="0.25">
      <c r="A315" s="309" t="s">
        <v>105</v>
      </c>
      <c r="B315" s="309">
        <v>0.5</v>
      </c>
      <c r="C315" s="457">
        <f>IF('5. Engrais defini par l''utilisa'!E228="Y",B315,)</f>
        <v>0</v>
      </c>
      <c r="D315" s="457"/>
    </row>
    <row r="316" spans="1:4" ht="15" hidden="1" customHeight="1" x14ac:dyDescent="0.25">
      <c r="A316" s="309" t="s">
        <v>106</v>
      </c>
      <c r="B316" s="309">
        <v>1.4</v>
      </c>
      <c r="C316" s="457">
        <f>IF('5. Engrais defini par l''utilisa'!F228="Y",B316,)</f>
        <v>0</v>
      </c>
      <c r="D316" s="457"/>
    </row>
    <row r="317" spans="1:4" ht="15" hidden="1" customHeight="1" x14ac:dyDescent="0.25">
      <c r="A317" s="309" t="s">
        <v>113</v>
      </c>
      <c r="B317" s="187">
        <f>AVERAGE(B315:B316)</f>
        <v>0.95</v>
      </c>
      <c r="C317" s="457">
        <f>SUM(C315:D316)</f>
        <v>0</v>
      </c>
      <c r="D317" s="457"/>
    </row>
    <row r="318" spans="1:4" ht="15" hidden="1" customHeight="1" x14ac:dyDescent="0.25">
      <c r="A318" s="309"/>
      <c r="B318" s="309"/>
      <c r="C318" s="456">
        <f>IF(C317=0, B317, C317)</f>
        <v>0.95</v>
      </c>
      <c r="D318" s="456"/>
    </row>
    <row r="319" spans="1:4" ht="15" hidden="1" customHeight="1" x14ac:dyDescent="0.25">
      <c r="A319" s="309"/>
      <c r="B319" s="309"/>
      <c r="C319" s="458"/>
      <c r="D319" s="458"/>
    </row>
    <row r="320" spans="1:4" ht="15" hidden="1" customHeight="1" x14ac:dyDescent="0.25">
      <c r="A320" s="309" t="s">
        <v>114</v>
      </c>
      <c r="B320" s="309"/>
      <c r="C320" s="456">
        <v>0.9</v>
      </c>
      <c r="D320" s="456"/>
    </row>
    <row r="321" spans="1:4" ht="15" hidden="1" customHeight="1" x14ac:dyDescent="0.25">
      <c r="A321" s="309" t="s">
        <v>115</v>
      </c>
      <c r="B321" s="309"/>
      <c r="C321" s="456">
        <v>1</v>
      </c>
      <c r="D321" s="456"/>
    </row>
    <row r="322" spans="1:4" ht="15" hidden="1" customHeight="1" x14ac:dyDescent="0.25">
      <c r="A322" s="309" t="s">
        <v>116</v>
      </c>
      <c r="B322" s="309"/>
      <c r="C322" s="456"/>
      <c r="D322" s="456"/>
    </row>
    <row r="323" spans="1:4" ht="15" hidden="1" customHeight="1" x14ac:dyDescent="0.25">
      <c r="A323" s="309" t="s">
        <v>117</v>
      </c>
      <c r="B323" s="309"/>
      <c r="C323" s="456">
        <v>1.9</v>
      </c>
      <c r="D323" s="456"/>
    </row>
    <row r="324" spans="1:4" ht="15" hidden="1" customHeight="1" x14ac:dyDescent="0.25">
      <c r="A324" s="309" t="s">
        <v>118</v>
      </c>
      <c r="B324" s="309"/>
      <c r="C324" s="456">
        <v>0.2</v>
      </c>
      <c r="D324" s="456"/>
    </row>
    <row r="325" spans="1:4" ht="15" hidden="1" customHeight="1" x14ac:dyDescent="0.25">
      <c r="A325" s="309" t="s">
        <v>119</v>
      </c>
      <c r="B325" s="309"/>
      <c r="C325" s="456">
        <v>1.8</v>
      </c>
      <c r="D325" s="456"/>
    </row>
    <row r="326" spans="1:4" ht="15" hidden="1" customHeight="1" x14ac:dyDescent="0.25">
      <c r="A326" s="309" t="s">
        <v>120</v>
      </c>
      <c r="B326" s="309"/>
      <c r="C326" s="456">
        <v>2.9</v>
      </c>
      <c r="D326" s="456"/>
    </row>
    <row r="327" spans="1:4" ht="15" hidden="1" customHeight="1" x14ac:dyDescent="0.25"/>
    <row r="328" spans="1:4" ht="15" hidden="1" customHeight="1" x14ac:dyDescent="0.25">
      <c r="A328" s="308" t="s">
        <v>159</v>
      </c>
      <c r="B328" s="308"/>
      <c r="C328" s="308"/>
      <c r="D328" s="308"/>
    </row>
    <row r="329" spans="1:4" ht="15" hidden="1" customHeight="1" x14ac:dyDescent="0.25">
      <c r="A329" s="309"/>
      <c r="B329" s="36" t="s">
        <v>108</v>
      </c>
      <c r="C329" s="460" t="s">
        <v>109</v>
      </c>
      <c r="D329" s="460"/>
    </row>
    <row r="330" spans="1:4" ht="15" hidden="1" customHeight="1" x14ac:dyDescent="0.25">
      <c r="A330" s="309" t="s">
        <v>98</v>
      </c>
      <c r="B330" s="187">
        <v>3.3</v>
      </c>
      <c r="C330" s="457">
        <f>IF('5. Engrais defini par l''utilisa'!E250="Y",B330,)</f>
        <v>0</v>
      </c>
      <c r="D330" s="457"/>
    </row>
    <row r="331" spans="1:4" ht="15" hidden="1" customHeight="1" x14ac:dyDescent="0.25">
      <c r="A331" s="309" t="s">
        <v>99</v>
      </c>
      <c r="B331" s="309">
        <v>8.5</v>
      </c>
      <c r="C331" s="457">
        <f>IF('5. Engrais defini par l''utilisa'!F250="Y",B331,)</f>
        <v>0</v>
      </c>
      <c r="D331" s="457"/>
    </row>
    <row r="332" spans="1:4" ht="15" hidden="1" customHeight="1" x14ac:dyDescent="0.25">
      <c r="A332" s="309" t="s">
        <v>100</v>
      </c>
      <c r="B332" s="309">
        <v>2.7</v>
      </c>
      <c r="C332" s="457">
        <f>IF('5. Engrais defini par l''utilisa'!G250="Y",B332,)</f>
        <v>0</v>
      </c>
      <c r="D332" s="457"/>
    </row>
    <row r="333" spans="1:4" ht="15" hidden="1" customHeight="1" x14ac:dyDescent="0.25">
      <c r="A333" s="309" t="s">
        <v>101</v>
      </c>
      <c r="B333" s="309">
        <v>1</v>
      </c>
      <c r="C333" s="457">
        <f>IF('5. Engrais defini par l''utilisa'!H250="Y",B333,)</f>
        <v>0</v>
      </c>
      <c r="D333" s="457"/>
    </row>
    <row r="334" spans="1:4" ht="15" hidden="1" customHeight="1" x14ac:dyDescent="0.25">
      <c r="A334" s="309" t="s">
        <v>102</v>
      </c>
      <c r="B334" s="309">
        <v>7</v>
      </c>
      <c r="C334" s="457">
        <f>IF('5. Engrais defini par l''utilisa'!I250="Y",B334,)</f>
        <v>0</v>
      </c>
      <c r="D334" s="457"/>
    </row>
    <row r="335" spans="1:4" ht="15" hidden="1" customHeight="1" x14ac:dyDescent="0.25">
      <c r="A335" s="309" t="s">
        <v>110</v>
      </c>
      <c r="B335" s="309">
        <f>AVERAGE(B330:B334)</f>
        <v>4.5</v>
      </c>
      <c r="C335" s="457">
        <f>SUM(C330:D334)</f>
        <v>0</v>
      </c>
      <c r="D335" s="457"/>
    </row>
    <row r="336" spans="1:4" ht="15" hidden="1" customHeight="1" x14ac:dyDescent="0.25">
      <c r="A336" s="309"/>
      <c r="B336" s="309"/>
      <c r="C336" s="459">
        <f>IF(C335=0, B335, C335)</f>
        <v>4.5</v>
      </c>
      <c r="D336" s="459"/>
    </row>
    <row r="337" spans="1:4" ht="15" hidden="1" customHeight="1" x14ac:dyDescent="0.25">
      <c r="A337" s="309"/>
      <c r="B337" s="309"/>
      <c r="C337" s="458"/>
      <c r="D337" s="458"/>
    </row>
    <row r="338" spans="1:4" ht="15" hidden="1" customHeight="1" x14ac:dyDescent="0.25">
      <c r="A338" s="309" t="s">
        <v>103</v>
      </c>
      <c r="B338" s="309">
        <v>2.7</v>
      </c>
      <c r="C338" s="457">
        <f>IF('5. Engrais defini par l''utilisa'!E252="Y",B338,)</f>
        <v>0</v>
      </c>
      <c r="D338" s="457"/>
    </row>
    <row r="339" spans="1:4" ht="15" hidden="1" customHeight="1" x14ac:dyDescent="0.25">
      <c r="A339" s="309" t="s">
        <v>104</v>
      </c>
      <c r="B339" s="309">
        <v>2</v>
      </c>
      <c r="C339" s="457">
        <f>IF('5. Engrais defini par l''utilisa'!F252="Y",B339,)</f>
        <v>0</v>
      </c>
      <c r="D339" s="457"/>
    </row>
    <row r="340" spans="1:4" ht="15" hidden="1" customHeight="1" x14ac:dyDescent="0.25">
      <c r="A340" s="309" t="s">
        <v>111</v>
      </c>
      <c r="B340" s="309">
        <v>0.2</v>
      </c>
      <c r="C340" s="457">
        <f>IF('5. Engrais defini par l''utilisa'!G252="Y",B340,)</f>
        <v>0</v>
      </c>
      <c r="D340" s="457"/>
    </row>
    <row r="341" spans="1:4" ht="15" hidden="1" customHeight="1" x14ac:dyDescent="0.25">
      <c r="A341" s="309" t="s">
        <v>112</v>
      </c>
      <c r="B341" s="187">
        <f>AVERAGE(B338:B340)</f>
        <v>1.6333333333333335</v>
      </c>
      <c r="C341" s="457">
        <f>SUM(C338:D340)</f>
        <v>0</v>
      </c>
      <c r="D341" s="457"/>
    </row>
    <row r="342" spans="1:4" ht="15" hidden="1" customHeight="1" x14ac:dyDescent="0.25">
      <c r="A342" s="309"/>
      <c r="B342" s="309"/>
      <c r="C342" s="459">
        <f>IF(C341=0, B341, C341)</f>
        <v>1.6333333333333335</v>
      </c>
      <c r="D342" s="459"/>
    </row>
    <row r="343" spans="1:4" ht="15" hidden="1" customHeight="1" x14ac:dyDescent="0.25">
      <c r="A343" s="309"/>
      <c r="B343" s="309"/>
      <c r="C343" s="458"/>
      <c r="D343" s="458"/>
    </row>
    <row r="344" spans="1:4" ht="15" hidden="1" customHeight="1" x14ac:dyDescent="0.25">
      <c r="A344" s="309" t="s">
        <v>105</v>
      </c>
      <c r="B344" s="309">
        <v>0.5</v>
      </c>
      <c r="C344" s="457">
        <f>IF('5. Engrais defini par l''utilisa'!E254="Y",B344,)</f>
        <v>0</v>
      </c>
      <c r="D344" s="457"/>
    </row>
    <row r="345" spans="1:4" ht="15" hidden="1" customHeight="1" x14ac:dyDescent="0.25">
      <c r="A345" s="309" t="s">
        <v>106</v>
      </c>
      <c r="B345" s="309">
        <v>1.4</v>
      </c>
      <c r="C345" s="457">
        <f>IF('5. Engrais defini par l''utilisa'!F254="Y",B345,)</f>
        <v>0</v>
      </c>
      <c r="D345" s="457"/>
    </row>
    <row r="346" spans="1:4" ht="15" hidden="1" customHeight="1" x14ac:dyDescent="0.25">
      <c r="A346" s="309" t="s">
        <v>113</v>
      </c>
      <c r="B346" s="187">
        <f>AVERAGE(B344:B345)</f>
        <v>0.95</v>
      </c>
      <c r="C346" s="457">
        <f>SUM(C344:D345)</f>
        <v>0</v>
      </c>
      <c r="D346" s="457"/>
    </row>
    <row r="347" spans="1:4" ht="15" hidden="1" customHeight="1" x14ac:dyDescent="0.25">
      <c r="A347" s="309"/>
      <c r="B347" s="309"/>
      <c r="C347" s="456">
        <f>IF(C346=0, B346, C346)</f>
        <v>0.95</v>
      </c>
      <c r="D347" s="456"/>
    </row>
    <row r="348" spans="1:4" ht="15" hidden="1" customHeight="1" x14ac:dyDescent="0.25">
      <c r="A348" s="309"/>
      <c r="B348" s="309"/>
      <c r="C348" s="458"/>
      <c r="D348" s="458"/>
    </row>
    <row r="349" spans="1:4" ht="15" hidden="1" customHeight="1" x14ac:dyDescent="0.25">
      <c r="A349" s="309" t="s">
        <v>114</v>
      </c>
      <c r="B349" s="309"/>
      <c r="C349" s="456">
        <v>0.9</v>
      </c>
      <c r="D349" s="456"/>
    </row>
    <row r="350" spans="1:4" ht="15" hidden="1" customHeight="1" x14ac:dyDescent="0.25">
      <c r="A350" s="309" t="s">
        <v>115</v>
      </c>
      <c r="B350" s="309"/>
      <c r="C350" s="456">
        <v>1</v>
      </c>
      <c r="D350" s="456"/>
    </row>
    <row r="351" spans="1:4" ht="15" hidden="1" customHeight="1" x14ac:dyDescent="0.25">
      <c r="A351" s="309" t="s">
        <v>116</v>
      </c>
      <c r="B351" s="309"/>
      <c r="C351" s="456"/>
      <c r="D351" s="456"/>
    </row>
    <row r="352" spans="1:4" ht="15" hidden="1" customHeight="1" x14ac:dyDescent="0.25">
      <c r="A352" s="309" t="s">
        <v>117</v>
      </c>
      <c r="B352" s="309"/>
      <c r="C352" s="456">
        <v>1.9</v>
      </c>
      <c r="D352" s="456"/>
    </row>
    <row r="353" spans="1:4" ht="15" hidden="1" customHeight="1" x14ac:dyDescent="0.25">
      <c r="A353" s="309" t="s">
        <v>118</v>
      </c>
      <c r="B353" s="309"/>
      <c r="C353" s="456">
        <v>0.2</v>
      </c>
      <c r="D353" s="456"/>
    </row>
    <row r="354" spans="1:4" ht="15" hidden="1" customHeight="1" x14ac:dyDescent="0.25">
      <c r="A354" s="309" t="s">
        <v>119</v>
      </c>
      <c r="B354" s="309"/>
      <c r="C354" s="456">
        <v>1.8</v>
      </c>
      <c r="D354" s="456"/>
    </row>
    <row r="355" spans="1:4" ht="15" hidden="1" customHeight="1" x14ac:dyDescent="0.25">
      <c r="A355" s="309" t="s">
        <v>120</v>
      </c>
      <c r="B355" s="309"/>
      <c r="C355" s="456">
        <v>2.9</v>
      </c>
      <c r="D355" s="456"/>
    </row>
    <row r="356" spans="1:4" x14ac:dyDescent="0.25">
      <c r="A356" s="471" t="s">
        <v>521</v>
      </c>
    </row>
  </sheetData>
  <sheetProtection formatCells="0" formatColumns="0" formatRows="0" insertColumns="0" insertRows="0"/>
  <customSheetViews>
    <customSheetView guid="{E65377FD-65C5-4E48-ADBC-1C49981F2400}" topLeftCell="A52">
      <selection activeCell="F6" sqref="F6"/>
      <pageMargins left="0.7" right="0.7" top="0.75" bottom="0.75" header="0.3" footer="0.3"/>
      <pageSetup orientation="portrait" r:id="rId1"/>
    </customSheetView>
  </customSheetViews>
  <mergeCells count="278">
    <mergeCell ref="C110:D110"/>
    <mergeCell ref="C111:D111"/>
    <mergeCell ref="C112:D112"/>
    <mergeCell ref="C113:D113"/>
    <mergeCell ref="C114:D114"/>
    <mergeCell ref="C115:D115"/>
    <mergeCell ref="C123:D123"/>
    <mergeCell ref="C121:D121"/>
    <mergeCell ref="C122:D122"/>
    <mergeCell ref="C116:D116"/>
    <mergeCell ref="C117:D117"/>
    <mergeCell ref="C118:D118"/>
    <mergeCell ref="C119:D119"/>
    <mergeCell ref="C120:D120"/>
    <mergeCell ref="C101:D101"/>
    <mergeCell ref="C102:D102"/>
    <mergeCell ref="C103:D103"/>
    <mergeCell ref="C104:D104"/>
    <mergeCell ref="C105:D105"/>
    <mergeCell ref="C106:D106"/>
    <mergeCell ref="C107:D107"/>
    <mergeCell ref="C108:D108"/>
    <mergeCell ref="C109:D109"/>
    <mergeCell ref="C86:D86"/>
    <mergeCell ref="C87:D87"/>
    <mergeCell ref="C97:D97"/>
    <mergeCell ref="C98:D98"/>
    <mergeCell ref="C99:D99"/>
    <mergeCell ref="C100:D100"/>
    <mergeCell ref="C88:D88"/>
    <mergeCell ref="C89:D89"/>
    <mergeCell ref="C90:D90"/>
    <mergeCell ref="C91:D91"/>
    <mergeCell ref="C92:D92"/>
    <mergeCell ref="C77:D77"/>
    <mergeCell ref="C78:D78"/>
    <mergeCell ref="C79:D79"/>
    <mergeCell ref="C80:D80"/>
    <mergeCell ref="C81:D81"/>
    <mergeCell ref="C82:D82"/>
    <mergeCell ref="C83:D83"/>
    <mergeCell ref="C84:D84"/>
    <mergeCell ref="C85:D85"/>
    <mergeCell ref="C126:D126"/>
    <mergeCell ref="C127:D127"/>
    <mergeCell ref="C128:D128"/>
    <mergeCell ref="C129:D129"/>
    <mergeCell ref="C130:D130"/>
    <mergeCell ref="A3:F3"/>
    <mergeCell ref="E18:F18"/>
    <mergeCell ref="E19:F19"/>
    <mergeCell ref="E20:F20"/>
    <mergeCell ref="E21:F21"/>
    <mergeCell ref="E22:F22"/>
    <mergeCell ref="E23:F23"/>
    <mergeCell ref="E24:F24"/>
    <mergeCell ref="C66:D66"/>
    <mergeCell ref="C67:D67"/>
    <mergeCell ref="C68:D68"/>
    <mergeCell ref="C69:D69"/>
    <mergeCell ref="C70:D70"/>
    <mergeCell ref="C71:D71"/>
    <mergeCell ref="C72:D72"/>
    <mergeCell ref="C73:D73"/>
    <mergeCell ref="C74:D74"/>
    <mergeCell ref="C75:D75"/>
    <mergeCell ref="C76:D76"/>
    <mergeCell ref="C136:D136"/>
    <mergeCell ref="C137:D137"/>
    <mergeCell ref="C138:D138"/>
    <mergeCell ref="C139:D139"/>
    <mergeCell ref="C140:D140"/>
    <mergeCell ref="C131:D131"/>
    <mergeCell ref="C132:D132"/>
    <mergeCell ref="C133:D133"/>
    <mergeCell ref="C134:D134"/>
    <mergeCell ref="C135:D135"/>
    <mergeCell ref="C146:D146"/>
    <mergeCell ref="C147:D147"/>
    <mergeCell ref="C148:D148"/>
    <mergeCell ref="C149:D149"/>
    <mergeCell ref="C150:D150"/>
    <mergeCell ref="C141:D141"/>
    <mergeCell ref="C142:D142"/>
    <mergeCell ref="C143:D143"/>
    <mergeCell ref="C144:D144"/>
    <mergeCell ref="C145:D145"/>
    <mergeCell ref="C158:D158"/>
    <mergeCell ref="C159:D159"/>
    <mergeCell ref="C160:D160"/>
    <mergeCell ref="C161:D161"/>
    <mergeCell ref="C162:D162"/>
    <mergeCell ref="C151:D151"/>
    <mergeCell ref="C152:D152"/>
    <mergeCell ref="C155:D155"/>
    <mergeCell ref="C156:D156"/>
    <mergeCell ref="C157:D157"/>
    <mergeCell ref="C168:D168"/>
    <mergeCell ref="C169:D169"/>
    <mergeCell ref="C170:D170"/>
    <mergeCell ref="C171:D171"/>
    <mergeCell ref="C172:D172"/>
    <mergeCell ref="C163:D163"/>
    <mergeCell ref="C164:D164"/>
    <mergeCell ref="C165:D165"/>
    <mergeCell ref="C166:D166"/>
    <mergeCell ref="C167:D167"/>
    <mergeCell ref="C178:D178"/>
    <mergeCell ref="C179:D179"/>
    <mergeCell ref="C180:D180"/>
    <mergeCell ref="C181:D181"/>
    <mergeCell ref="C184:D184"/>
    <mergeCell ref="C173:D173"/>
    <mergeCell ref="C174:D174"/>
    <mergeCell ref="C175:D175"/>
    <mergeCell ref="C176:D176"/>
    <mergeCell ref="C177:D177"/>
    <mergeCell ref="C190:D190"/>
    <mergeCell ref="C191:D191"/>
    <mergeCell ref="C192:D192"/>
    <mergeCell ref="C193:D193"/>
    <mergeCell ref="C194:D194"/>
    <mergeCell ref="C185:D185"/>
    <mergeCell ref="C186:D186"/>
    <mergeCell ref="C187:D187"/>
    <mergeCell ref="C188:D188"/>
    <mergeCell ref="C189:D189"/>
    <mergeCell ref="C200:D200"/>
    <mergeCell ref="C201:D201"/>
    <mergeCell ref="C202:D202"/>
    <mergeCell ref="C203:D203"/>
    <mergeCell ref="C204:D204"/>
    <mergeCell ref="C195:D195"/>
    <mergeCell ref="C196:D196"/>
    <mergeCell ref="C197:D197"/>
    <mergeCell ref="C198:D198"/>
    <mergeCell ref="C199:D199"/>
    <mergeCell ref="C210:D210"/>
    <mergeCell ref="C213:D213"/>
    <mergeCell ref="C214:D214"/>
    <mergeCell ref="C215:D215"/>
    <mergeCell ref="C216:D216"/>
    <mergeCell ref="C205:D205"/>
    <mergeCell ref="C206:D206"/>
    <mergeCell ref="C207:D207"/>
    <mergeCell ref="C208:D208"/>
    <mergeCell ref="C209:D209"/>
    <mergeCell ref="C222:D222"/>
    <mergeCell ref="C223:D223"/>
    <mergeCell ref="C224:D224"/>
    <mergeCell ref="C225:D225"/>
    <mergeCell ref="C226:D226"/>
    <mergeCell ref="C217:D217"/>
    <mergeCell ref="C218:D218"/>
    <mergeCell ref="C219:D219"/>
    <mergeCell ref="C220:D220"/>
    <mergeCell ref="C221:D221"/>
    <mergeCell ref="C232:D232"/>
    <mergeCell ref="C233:D233"/>
    <mergeCell ref="C234:D234"/>
    <mergeCell ref="C235:D235"/>
    <mergeCell ref="C236:D236"/>
    <mergeCell ref="C227:D227"/>
    <mergeCell ref="C228:D228"/>
    <mergeCell ref="C229:D229"/>
    <mergeCell ref="C230:D230"/>
    <mergeCell ref="C231:D231"/>
    <mergeCell ref="C244:D244"/>
    <mergeCell ref="C245:D245"/>
    <mergeCell ref="C246:D246"/>
    <mergeCell ref="C247:D247"/>
    <mergeCell ref="C248:D248"/>
    <mergeCell ref="C237:D237"/>
    <mergeCell ref="C238:D238"/>
    <mergeCell ref="C239:D239"/>
    <mergeCell ref="C242:D242"/>
    <mergeCell ref="C243:D243"/>
    <mergeCell ref="C254:D254"/>
    <mergeCell ref="C255:D255"/>
    <mergeCell ref="C256:D256"/>
    <mergeCell ref="C257:D257"/>
    <mergeCell ref="C258:D258"/>
    <mergeCell ref="C249:D249"/>
    <mergeCell ref="C250:D250"/>
    <mergeCell ref="C251:D251"/>
    <mergeCell ref="C252:D252"/>
    <mergeCell ref="C253:D253"/>
    <mergeCell ref="C264:D264"/>
    <mergeCell ref="C265:D265"/>
    <mergeCell ref="C266:D266"/>
    <mergeCell ref="C267:D267"/>
    <mergeCell ref="C268:D268"/>
    <mergeCell ref="C259:D259"/>
    <mergeCell ref="C260:D260"/>
    <mergeCell ref="C261:D261"/>
    <mergeCell ref="C262:D262"/>
    <mergeCell ref="C263:D263"/>
    <mergeCell ref="C276:D276"/>
    <mergeCell ref="C277:D277"/>
    <mergeCell ref="C278:D278"/>
    <mergeCell ref="C279:D279"/>
    <mergeCell ref="C280:D280"/>
    <mergeCell ref="C271:D271"/>
    <mergeCell ref="C272:D272"/>
    <mergeCell ref="C273:D273"/>
    <mergeCell ref="C274:D274"/>
    <mergeCell ref="C275:D275"/>
    <mergeCell ref="C286:D286"/>
    <mergeCell ref="C287:D287"/>
    <mergeCell ref="C288:D288"/>
    <mergeCell ref="C289:D289"/>
    <mergeCell ref="C290:D290"/>
    <mergeCell ref="C281:D281"/>
    <mergeCell ref="C282:D282"/>
    <mergeCell ref="C283:D283"/>
    <mergeCell ref="C284:D284"/>
    <mergeCell ref="C285:D285"/>
    <mergeCell ref="C296:D296"/>
    <mergeCell ref="C297:D297"/>
    <mergeCell ref="C300:D300"/>
    <mergeCell ref="C301:D301"/>
    <mergeCell ref="C302:D302"/>
    <mergeCell ref="C291:D291"/>
    <mergeCell ref="C292:D292"/>
    <mergeCell ref="C293:D293"/>
    <mergeCell ref="C294:D294"/>
    <mergeCell ref="C295:D295"/>
    <mergeCell ref="C308:D308"/>
    <mergeCell ref="C309:D309"/>
    <mergeCell ref="C310:D310"/>
    <mergeCell ref="C311:D311"/>
    <mergeCell ref="C312:D312"/>
    <mergeCell ref="C303:D303"/>
    <mergeCell ref="C304:D304"/>
    <mergeCell ref="C305:D305"/>
    <mergeCell ref="C306:D306"/>
    <mergeCell ref="C307:D307"/>
    <mergeCell ref="C318:D318"/>
    <mergeCell ref="C319:D319"/>
    <mergeCell ref="C320:D320"/>
    <mergeCell ref="C321:D321"/>
    <mergeCell ref="C322:D322"/>
    <mergeCell ref="C313:D313"/>
    <mergeCell ref="C314:D314"/>
    <mergeCell ref="C315:D315"/>
    <mergeCell ref="C316:D316"/>
    <mergeCell ref="C317:D317"/>
    <mergeCell ref="C330:D330"/>
    <mergeCell ref="C331:D331"/>
    <mergeCell ref="C332:D332"/>
    <mergeCell ref="C333:D333"/>
    <mergeCell ref="C334:D334"/>
    <mergeCell ref="C323:D323"/>
    <mergeCell ref="C324:D324"/>
    <mergeCell ref="C325:D325"/>
    <mergeCell ref="C326:D326"/>
    <mergeCell ref="C329:D329"/>
    <mergeCell ref="C340:D340"/>
    <mergeCell ref="C341:D341"/>
    <mergeCell ref="C342:D342"/>
    <mergeCell ref="C343:D343"/>
    <mergeCell ref="C344:D344"/>
    <mergeCell ref="C335:D335"/>
    <mergeCell ref="C336:D336"/>
    <mergeCell ref="C337:D337"/>
    <mergeCell ref="C338:D338"/>
    <mergeCell ref="C339:D339"/>
    <mergeCell ref="C355:D355"/>
    <mergeCell ref="C350:D350"/>
    <mergeCell ref="C351:D351"/>
    <mergeCell ref="C352:D352"/>
    <mergeCell ref="C353:D353"/>
    <mergeCell ref="C354:D354"/>
    <mergeCell ref="C345:D345"/>
    <mergeCell ref="C346:D346"/>
    <mergeCell ref="C347:D347"/>
    <mergeCell ref="C348:D348"/>
    <mergeCell ref="C349:D349"/>
  </mergeCells>
  <pageMargins left="0.7" right="0.7" top="0.75" bottom="0.75" header="0.3" footer="0.3"/>
  <pageSetup orientation="portrait"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249977111117893"/>
  </sheetPr>
  <dimension ref="A1:C17"/>
  <sheetViews>
    <sheetView workbookViewId="0">
      <selection activeCell="A12" sqref="A12"/>
    </sheetView>
  </sheetViews>
  <sheetFormatPr defaultColWidth="9.140625" defaultRowHeight="15" x14ac:dyDescent="0.25"/>
  <cols>
    <col min="1" max="1" width="49.42578125" style="11" customWidth="1"/>
    <col min="2" max="2" width="10.42578125" style="11" customWidth="1"/>
    <col min="3" max="16384" width="9.140625" style="11"/>
  </cols>
  <sheetData>
    <row r="1" spans="1:3" x14ac:dyDescent="0.25">
      <c r="A1" s="25" t="s">
        <v>512</v>
      </c>
    </row>
    <row r="2" spans="1:3" x14ac:dyDescent="0.25">
      <c r="A2" s="25"/>
    </row>
    <row r="3" spans="1:3" ht="43.5" customHeight="1" x14ac:dyDescent="0.25">
      <c r="A3" s="467" t="s">
        <v>513</v>
      </c>
      <c r="B3" s="468"/>
    </row>
    <row r="4" spans="1:3" x14ac:dyDescent="0.25">
      <c r="A4" s="27"/>
    </row>
    <row r="5" spans="1:3" x14ac:dyDescent="0.25">
      <c r="A5" s="39"/>
    </row>
    <row r="6" spans="1:3" x14ac:dyDescent="0.25">
      <c r="A6" s="26" t="s">
        <v>514</v>
      </c>
      <c r="B6" s="241">
        <f>'9. Donnees usine'!B7</f>
        <v>0</v>
      </c>
      <c r="C6" s="4"/>
    </row>
    <row r="7" spans="1:3" x14ac:dyDescent="0.25">
      <c r="A7" s="26" t="s">
        <v>516</v>
      </c>
      <c r="B7" s="241">
        <f>'9. Donnees usine'!B8</f>
        <v>0</v>
      </c>
      <c r="C7" s="4"/>
    </row>
    <row r="8" spans="1:3" x14ac:dyDescent="0.25">
      <c r="A8" s="26"/>
      <c r="B8" s="28"/>
    </row>
    <row r="9" spans="1:3" ht="39.75" customHeight="1" x14ac:dyDescent="0.25">
      <c r="A9" s="38" t="s">
        <v>515</v>
      </c>
      <c r="B9" s="29" t="e">
        <f>1/(1+B7/B6)*100</f>
        <v>#DIV/0!</v>
      </c>
    </row>
    <row r="10" spans="1:3" ht="39.75" customHeight="1" x14ac:dyDescent="0.25">
      <c r="A10" s="38" t="s">
        <v>517</v>
      </c>
      <c r="B10" s="29" t="e">
        <f>100-B9</f>
        <v>#DIV/0!</v>
      </c>
    </row>
    <row r="11" spans="1:3" x14ac:dyDescent="0.25">
      <c r="A11" s="27"/>
      <c r="B11" s="18"/>
    </row>
    <row r="12" spans="1:3" x14ac:dyDescent="0.25">
      <c r="A12" s="471" t="s">
        <v>521</v>
      </c>
      <c r="B12" s="18"/>
    </row>
    <row r="13" spans="1:3" x14ac:dyDescent="0.25">
      <c r="A13" s="26"/>
      <c r="B13" s="4"/>
      <c r="C13" s="4"/>
    </row>
    <row r="14" spans="1:3" x14ac:dyDescent="0.25">
      <c r="A14"/>
      <c r="B14" s="4"/>
    </row>
    <row r="16" spans="1:3" x14ac:dyDescent="0.25">
      <c r="A16" s="38"/>
      <c r="B16" s="29"/>
    </row>
    <row r="17" spans="1:2" x14ac:dyDescent="0.25">
      <c r="A17" s="38"/>
      <c r="B17" s="29"/>
    </row>
  </sheetData>
  <customSheetViews>
    <customSheetView guid="{E65377FD-65C5-4E48-ADBC-1C49981F2400}">
      <selection activeCell="F9" sqref="F9"/>
      <pageMargins left="0.7" right="0.7" top="0.75" bottom="0.75" header="0.3" footer="0.3"/>
      <pageSetup orientation="portrait" r:id="rId1"/>
    </customSheetView>
  </customSheetViews>
  <mergeCells count="1">
    <mergeCell ref="A3:B3"/>
  </mergeCell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249977111117893"/>
  </sheetPr>
  <dimension ref="A1:Y35"/>
  <sheetViews>
    <sheetView showGridLines="0" tabSelected="1" topLeftCell="A25" workbookViewId="0">
      <selection activeCell="E39" sqref="E39"/>
    </sheetView>
  </sheetViews>
  <sheetFormatPr defaultColWidth="9.140625" defaultRowHeight="12.75" x14ac:dyDescent="0.2"/>
  <cols>
    <col min="1" max="1" width="4.85546875" style="345" customWidth="1"/>
    <col min="2" max="16384" width="9.140625" style="343"/>
  </cols>
  <sheetData>
    <row r="1" spans="1:25" ht="42.75" customHeight="1" x14ac:dyDescent="0.5">
      <c r="A1" s="339" t="s">
        <v>365</v>
      </c>
    </row>
    <row r="3" spans="1:25" s="338" customFormat="1" ht="16.5" customHeight="1" x14ac:dyDescent="0.25">
      <c r="A3" s="347">
        <v>1</v>
      </c>
      <c r="B3" s="348" t="s">
        <v>12</v>
      </c>
      <c r="C3" s="348"/>
      <c r="D3" s="348"/>
      <c r="E3" s="348"/>
      <c r="F3" s="348"/>
      <c r="G3" s="348"/>
      <c r="H3" s="348"/>
      <c r="I3" s="348"/>
      <c r="J3" s="348"/>
      <c r="K3" s="348"/>
      <c r="L3" s="348"/>
      <c r="M3" s="348"/>
      <c r="N3" s="348"/>
      <c r="O3" s="348"/>
      <c r="P3" s="348"/>
      <c r="Q3" s="348"/>
      <c r="R3" s="348"/>
      <c r="S3" s="348"/>
      <c r="T3" s="348"/>
      <c r="U3" s="348"/>
      <c r="V3" s="348"/>
      <c r="W3" s="348"/>
      <c r="X3" s="348"/>
      <c r="Y3" s="348"/>
    </row>
    <row r="4" spans="1:25" s="338" customFormat="1" ht="16.5" customHeight="1" x14ac:dyDescent="0.25">
      <c r="A4" s="347">
        <v>2</v>
      </c>
      <c r="B4" s="349" t="s">
        <v>65</v>
      </c>
      <c r="C4" s="348"/>
      <c r="D4" s="348"/>
      <c r="E4" s="348"/>
      <c r="F4" s="348"/>
      <c r="G4" s="348"/>
      <c r="H4" s="348"/>
      <c r="I4" s="348"/>
      <c r="J4" s="348"/>
      <c r="K4" s="348"/>
      <c r="L4" s="348"/>
      <c r="M4" s="348"/>
      <c r="N4" s="348"/>
      <c r="O4" s="348"/>
      <c r="P4" s="348"/>
      <c r="Q4" s="348"/>
      <c r="R4" s="348"/>
      <c r="S4" s="348"/>
      <c r="T4" s="348"/>
      <c r="U4" s="348"/>
      <c r="V4" s="348"/>
      <c r="W4" s="348"/>
      <c r="X4" s="348"/>
      <c r="Y4" s="348"/>
    </row>
    <row r="5" spans="1:25" s="338" customFormat="1" ht="16.5" customHeight="1" x14ac:dyDescent="0.25">
      <c r="A5" s="347">
        <v>3</v>
      </c>
      <c r="B5" s="348" t="s">
        <v>13</v>
      </c>
      <c r="C5" s="348"/>
      <c r="D5" s="348"/>
      <c r="E5" s="348"/>
      <c r="F5" s="348"/>
      <c r="G5" s="348"/>
      <c r="H5" s="348"/>
      <c r="I5" s="348"/>
      <c r="J5" s="348"/>
      <c r="K5" s="348"/>
      <c r="L5" s="348"/>
      <c r="M5" s="348"/>
      <c r="N5" s="348"/>
      <c r="O5" s="348"/>
      <c r="P5" s="348"/>
      <c r="Q5" s="348"/>
      <c r="R5" s="348"/>
      <c r="S5" s="348"/>
      <c r="T5" s="348"/>
      <c r="U5" s="348"/>
      <c r="V5" s="348"/>
      <c r="W5" s="348"/>
      <c r="X5" s="348"/>
      <c r="Y5" s="348"/>
    </row>
    <row r="6" spans="1:25" s="338" customFormat="1" ht="16.5" customHeight="1" x14ac:dyDescent="0.25">
      <c r="A6" s="347">
        <v>4</v>
      </c>
      <c r="B6" s="348" t="s">
        <v>14</v>
      </c>
      <c r="C6" s="348"/>
      <c r="D6" s="348"/>
      <c r="E6" s="348"/>
      <c r="F6" s="348"/>
      <c r="G6" s="348"/>
      <c r="H6" s="348"/>
      <c r="I6" s="348"/>
      <c r="J6" s="348"/>
      <c r="K6" s="348"/>
      <c r="L6" s="348"/>
      <c r="M6" s="348"/>
      <c r="N6" s="348"/>
      <c r="O6" s="348"/>
      <c r="P6" s="348"/>
      <c r="Q6" s="348"/>
      <c r="R6" s="348"/>
      <c r="S6" s="348"/>
      <c r="T6" s="348"/>
      <c r="U6" s="348"/>
      <c r="V6" s="348"/>
      <c r="W6" s="348"/>
      <c r="X6" s="348"/>
      <c r="Y6" s="348"/>
    </row>
    <row r="7" spans="1:25" s="338" customFormat="1" ht="16.5" customHeight="1" x14ac:dyDescent="0.25">
      <c r="A7" s="347">
        <v>5</v>
      </c>
      <c r="B7" s="348" t="s">
        <v>15</v>
      </c>
      <c r="C7" s="348"/>
      <c r="D7" s="348"/>
      <c r="E7" s="348"/>
      <c r="F7" s="348"/>
      <c r="G7" s="348"/>
      <c r="H7" s="348"/>
      <c r="I7" s="348"/>
      <c r="J7" s="348"/>
      <c r="K7" s="348"/>
      <c r="L7" s="348"/>
      <c r="M7" s="348"/>
      <c r="N7" s="348"/>
      <c r="O7" s="348"/>
      <c r="P7" s="348"/>
      <c r="Q7" s="348"/>
      <c r="R7" s="348"/>
      <c r="S7" s="348"/>
      <c r="T7" s="348"/>
      <c r="U7" s="348"/>
      <c r="V7" s="348"/>
      <c r="W7" s="348"/>
      <c r="X7" s="348"/>
      <c r="Y7" s="348"/>
    </row>
    <row r="8" spans="1:25" s="338" customFormat="1" ht="16.5" customHeight="1" x14ac:dyDescent="0.25">
      <c r="A8" s="347">
        <v>6</v>
      </c>
      <c r="B8" s="348" t="s">
        <v>16</v>
      </c>
      <c r="C8" s="348"/>
      <c r="D8" s="348"/>
      <c r="E8" s="348"/>
      <c r="F8" s="348"/>
      <c r="G8" s="348"/>
      <c r="H8" s="348"/>
      <c r="I8" s="348"/>
      <c r="J8" s="348"/>
      <c r="K8" s="348"/>
      <c r="L8" s="348"/>
      <c r="M8" s="348"/>
      <c r="N8" s="348"/>
      <c r="O8" s="348"/>
      <c r="P8" s="348"/>
      <c r="Q8" s="348"/>
      <c r="R8" s="348"/>
      <c r="S8" s="348"/>
      <c r="T8" s="348"/>
      <c r="U8" s="348"/>
      <c r="V8" s="348"/>
      <c r="W8" s="348"/>
      <c r="X8" s="348"/>
      <c r="Y8" s="348"/>
    </row>
    <row r="9" spans="1:25" s="338" customFormat="1" ht="16.5" customHeight="1" x14ac:dyDescent="0.25">
      <c r="A9" s="347">
        <v>7</v>
      </c>
      <c r="B9" s="348" t="s">
        <v>17</v>
      </c>
      <c r="C9" s="348"/>
      <c r="D9" s="348"/>
      <c r="E9" s="348"/>
      <c r="F9" s="348"/>
      <c r="G9" s="348"/>
      <c r="H9" s="348"/>
      <c r="I9" s="348"/>
      <c r="J9" s="348"/>
      <c r="K9" s="348"/>
      <c r="L9" s="348"/>
      <c r="M9" s="348"/>
      <c r="N9" s="348"/>
      <c r="O9" s="348"/>
      <c r="P9" s="348"/>
      <c r="Q9" s="348"/>
      <c r="R9" s="348"/>
      <c r="S9" s="348"/>
      <c r="T9" s="348"/>
      <c r="U9" s="348"/>
      <c r="V9" s="348"/>
      <c r="W9" s="348"/>
      <c r="X9" s="348"/>
      <c r="Y9" s="348"/>
    </row>
    <row r="10" spans="1:25" s="338" customFormat="1" ht="16.5" customHeight="1" x14ac:dyDescent="0.25">
      <c r="A10" s="347">
        <v>8</v>
      </c>
      <c r="B10" s="349" t="s">
        <v>67</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row>
    <row r="11" spans="1:25" s="338" customFormat="1" ht="16.5" customHeight="1" x14ac:dyDescent="0.25">
      <c r="A11" s="347">
        <v>9</v>
      </c>
      <c r="B11" s="348" t="s">
        <v>18</v>
      </c>
      <c r="C11" s="348"/>
      <c r="D11" s="348"/>
      <c r="E11" s="348"/>
      <c r="F11" s="348"/>
      <c r="G11" s="348"/>
      <c r="H11" s="348"/>
      <c r="I11" s="348"/>
      <c r="J11" s="348"/>
      <c r="K11" s="348"/>
      <c r="L11" s="348"/>
      <c r="M11" s="348"/>
      <c r="N11" s="348"/>
      <c r="O11" s="348"/>
      <c r="P11" s="348"/>
      <c r="Q11" s="348"/>
      <c r="R11" s="348"/>
      <c r="S11" s="348"/>
      <c r="T11" s="348"/>
      <c r="U11" s="348"/>
      <c r="V11" s="348"/>
      <c r="W11" s="348"/>
      <c r="X11" s="348"/>
      <c r="Y11" s="348"/>
    </row>
    <row r="12" spans="1:25" s="338" customFormat="1" ht="16.5" customHeight="1" x14ac:dyDescent="0.25">
      <c r="A12" s="347">
        <v>10</v>
      </c>
      <c r="B12" s="348" t="s">
        <v>77</v>
      </c>
      <c r="C12" s="348"/>
      <c r="D12" s="348"/>
      <c r="E12" s="348"/>
      <c r="F12" s="348"/>
      <c r="G12" s="348"/>
      <c r="H12" s="348"/>
      <c r="I12" s="348"/>
      <c r="J12" s="348"/>
      <c r="K12" s="348"/>
      <c r="L12" s="348"/>
      <c r="M12" s="348"/>
      <c r="N12" s="348"/>
      <c r="O12" s="348"/>
      <c r="P12" s="348"/>
      <c r="Q12" s="348"/>
      <c r="R12" s="348"/>
      <c r="S12" s="348"/>
      <c r="T12" s="348"/>
      <c r="U12" s="348"/>
      <c r="V12" s="348"/>
      <c r="W12" s="348"/>
      <c r="X12" s="348"/>
      <c r="Y12" s="348"/>
    </row>
    <row r="13" spans="1:25" s="338" customFormat="1" ht="16.5" customHeight="1" x14ac:dyDescent="0.25">
      <c r="A13" s="347">
        <v>11</v>
      </c>
      <c r="B13" s="350" t="s">
        <v>84</v>
      </c>
      <c r="C13" s="348"/>
      <c r="D13" s="348"/>
      <c r="E13" s="348"/>
      <c r="F13" s="348"/>
      <c r="G13" s="348"/>
      <c r="H13" s="348"/>
      <c r="I13" s="348"/>
      <c r="J13" s="348"/>
      <c r="K13" s="348"/>
      <c r="L13" s="348"/>
      <c r="M13" s="348"/>
      <c r="N13" s="348"/>
      <c r="O13" s="348"/>
      <c r="P13" s="348"/>
      <c r="Q13" s="348"/>
      <c r="R13" s="348"/>
      <c r="S13" s="348"/>
      <c r="T13" s="348"/>
      <c r="U13" s="348"/>
      <c r="V13" s="348"/>
      <c r="W13" s="348"/>
      <c r="X13" s="348"/>
      <c r="Y13" s="348"/>
    </row>
    <row r="14" spans="1:25" s="338" customFormat="1" ht="16.5" customHeight="1" x14ac:dyDescent="0.25">
      <c r="A14" s="347">
        <v>12</v>
      </c>
      <c r="B14" s="348" t="s">
        <v>30</v>
      </c>
      <c r="C14" s="348"/>
      <c r="D14" s="348"/>
      <c r="E14" s="348"/>
      <c r="F14" s="348"/>
      <c r="G14" s="348"/>
      <c r="H14" s="348"/>
      <c r="I14" s="348"/>
      <c r="J14" s="348"/>
      <c r="K14" s="348"/>
      <c r="L14" s="348"/>
      <c r="M14" s="348"/>
      <c r="N14" s="348"/>
      <c r="O14" s="348"/>
      <c r="P14" s="348"/>
      <c r="Q14" s="348"/>
      <c r="R14" s="348"/>
      <c r="S14" s="348"/>
      <c r="T14" s="348"/>
      <c r="U14" s="348"/>
      <c r="V14" s="348"/>
      <c r="W14" s="348"/>
      <c r="X14" s="348"/>
      <c r="Y14" s="348"/>
    </row>
    <row r="15" spans="1:25" s="338" customFormat="1" ht="16.5" customHeight="1" x14ac:dyDescent="0.25">
      <c r="A15" s="347">
        <v>13</v>
      </c>
      <c r="B15" s="348" t="s">
        <v>31</v>
      </c>
      <c r="C15" s="348"/>
      <c r="D15" s="348"/>
      <c r="E15" s="348"/>
      <c r="F15" s="348"/>
      <c r="G15" s="348"/>
      <c r="H15" s="348"/>
      <c r="I15" s="348"/>
      <c r="J15" s="348"/>
      <c r="K15" s="348"/>
      <c r="L15" s="348"/>
      <c r="M15" s="348"/>
      <c r="N15" s="348"/>
      <c r="O15" s="348"/>
      <c r="P15" s="348"/>
      <c r="Q15" s="348"/>
      <c r="R15" s="348"/>
      <c r="S15" s="348"/>
      <c r="T15" s="348"/>
      <c r="U15" s="348"/>
      <c r="V15" s="348"/>
      <c r="W15" s="348"/>
      <c r="X15" s="348"/>
      <c r="Y15" s="348"/>
    </row>
    <row r="16" spans="1:25" s="338" customFormat="1" ht="16.5" customHeight="1" x14ac:dyDescent="0.25">
      <c r="A16" s="347">
        <v>14</v>
      </c>
      <c r="B16" s="348" t="s">
        <v>35</v>
      </c>
      <c r="C16" s="348"/>
      <c r="D16" s="348"/>
      <c r="E16" s="348"/>
      <c r="F16" s="348"/>
      <c r="G16" s="348"/>
      <c r="H16" s="348"/>
      <c r="I16" s="348"/>
      <c r="J16" s="348"/>
      <c r="K16" s="348"/>
      <c r="L16" s="348"/>
      <c r="M16" s="348"/>
      <c r="N16" s="348"/>
      <c r="O16" s="348"/>
      <c r="P16" s="348"/>
      <c r="Q16" s="348"/>
      <c r="R16" s="348"/>
      <c r="S16" s="348"/>
      <c r="T16" s="348"/>
      <c r="U16" s="348"/>
      <c r="V16" s="348"/>
      <c r="W16" s="348"/>
      <c r="X16" s="348"/>
      <c r="Y16" s="348"/>
    </row>
    <row r="17" spans="1:25" s="338" customFormat="1" ht="16.5" customHeight="1" x14ac:dyDescent="0.25">
      <c r="A17" s="347">
        <v>15</v>
      </c>
      <c r="B17" s="348" t="s">
        <v>70</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row>
    <row r="18" spans="1:25" s="338" customFormat="1" ht="16.5" customHeight="1" x14ac:dyDescent="0.25">
      <c r="A18" s="347">
        <v>16</v>
      </c>
      <c r="B18" s="348" t="s">
        <v>56</v>
      </c>
      <c r="C18" s="348"/>
      <c r="D18" s="348"/>
      <c r="E18" s="348"/>
      <c r="F18" s="348"/>
      <c r="G18" s="348"/>
      <c r="H18" s="348"/>
      <c r="I18" s="348"/>
      <c r="J18" s="348"/>
      <c r="K18" s="348"/>
      <c r="L18" s="348"/>
      <c r="M18" s="348"/>
      <c r="N18" s="348"/>
      <c r="O18" s="348"/>
      <c r="P18" s="348"/>
      <c r="Q18" s="348"/>
      <c r="R18" s="348"/>
      <c r="S18" s="348"/>
      <c r="T18" s="348"/>
      <c r="U18" s="348"/>
      <c r="V18" s="348"/>
      <c r="W18" s="348"/>
      <c r="X18" s="348"/>
      <c r="Y18" s="348"/>
    </row>
    <row r="19" spans="1:25" s="338" customFormat="1" ht="16.5" customHeight="1" x14ac:dyDescent="0.25">
      <c r="A19" s="347">
        <v>17</v>
      </c>
      <c r="B19" s="349" t="s">
        <v>71</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row>
    <row r="20" spans="1:25" s="338" customFormat="1" ht="16.5" customHeight="1" x14ac:dyDescent="0.25">
      <c r="A20" s="347">
        <v>18</v>
      </c>
      <c r="B20" s="349" t="s">
        <v>58</v>
      </c>
      <c r="C20" s="348"/>
      <c r="D20" s="348"/>
      <c r="E20" s="348"/>
      <c r="F20" s="348"/>
      <c r="G20" s="348"/>
      <c r="H20" s="348"/>
      <c r="I20" s="348"/>
      <c r="J20" s="348"/>
      <c r="K20" s="348"/>
      <c r="L20" s="348"/>
      <c r="M20" s="348"/>
      <c r="N20" s="348"/>
      <c r="O20" s="348"/>
      <c r="P20" s="348"/>
      <c r="Q20" s="348"/>
      <c r="R20" s="348"/>
      <c r="S20" s="348"/>
      <c r="T20" s="348"/>
      <c r="U20" s="348"/>
      <c r="V20" s="348"/>
      <c r="W20" s="348"/>
      <c r="X20" s="348"/>
      <c r="Y20" s="348"/>
    </row>
    <row r="21" spans="1:25" s="338" customFormat="1" ht="16.5" customHeight="1" x14ac:dyDescent="0.25">
      <c r="A21" s="347">
        <v>19</v>
      </c>
      <c r="B21" s="349" t="s">
        <v>59</v>
      </c>
      <c r="C21" s="348"/>
      <c r="D21" s="348"/>
      <c r="E21" s="348"/>
      <c r="F21" s="348"/>
      <c r="G21" s="348"/>
      <c r="H21" s="348"/>
      <c r="I21" s="348"/>
      <c r="J21" s="348"/>
      <c r="K21" s="348"/>
      <c r="L21" s="348"/>
      <c r="M21" s="348"/>
      <c r="N21" s="348"/>
      <c r="O21" s="348"/>
      <c r="P21" s="348"/>
      <c r="Q21" s="348"/>
      <c r="R21" s="348"/>
      <c r="S21" s="348"/>
      <c r="T21" s="348"/>
      <c r="U21" s="348"/>
      <c r="V21" s="348"/>
      <c r="W21" s="348"/>
      <c r="X21" s="348"/>
      <c r="Y21" s="348"/>
    </row>
    <row r="22" spans="1:25" s="338" customFormat="1" ht="16.5" customHeight="1" x14ac:dyDescent="0.25">
      <c r="A22" s="347">
        <v>20</v>
      </c>
      <c r="B22" s="349" t="s">
        <v>61</v>
      </c>
      <c r="C22" s="348"/>
      <c r="D22" s="348"/>
      <c r="E22" s="348"/>
      <c r="F22" s="348"/>
      <c r="G22" s="348"/>
      <c r="H22" s="348"/>
      <c r="I22" s="348"/>
      <c r="J22" s="348"/>
      <c r="K22" s="348"/>
      <c r="L22" s="348"/>
      <c r="M22" s="348"/>
      <c r="N22" s="348"/>
      <c r="O22" s="348"/>
      <c r="P22" s="348"/>
      <c r="Q22" s="348"/>
      <c r="R22" s="348"/>
      <c r="S22" s="348"/>
      <c r="T22" s="348"/>
      <c r="U22" s="348"/>
      <c r="V22" s="348"/>
      <c r="W22" s="348"/>
      <c r="X22" s="348"/>
      <c r="Y22" s="348"/>
    </row>
    <row r="23" spans="1:25" s="338" customFormat="1" ht="16.5" customHeight="1" x14ac:dyDescent="0.25">
      <c r="A23" s="347">
        <v>21</v>
      </c>
      <c r="B23" s="348" t="s">
        <v>57</v>
      </c>
      <c r="C23" s="348"/>
      <c r="D23" s="348"/>
      <c r="E23" s="348"/>
      <c r="F23" s="348"/>
      <c r="G23" s="348"/>
      <c r="H23" s="348"/>
      <c r="I23" s="348"/>
      <c r="J23" s="348"/>
      <c r="K23" s="348"/>
      <c r="L23" s="348"/>
      <c r="M23" s="348"/>
      <c r="N23" s="348"/>
      <c r="O23" s="348"/>
      <c r="P23" s="348"/>
      <c r="Q23" s="348"/>
      <c r="R23" s="348"/>
      <c r="S23" s="348"/>
      <c r="T23" s="348"/>
      <c r="U23" s="348"/>
      <c r="V23" s="348"/>
      <c r="W23" s="348"/>
      <c r="X23" s="348"/>
      <c r="Y23" s="348"/>
    </row>
    <row r="24" spans="1:25" s="338" customFormat="1" ht="16.5" customHeight="1" x14ac:dyDescent="0.25">
      <c r="A24" s="347">
        <v>22</v>
      </c>
      <c r="B24" s="349" t="s">
        <v>76</v>
      </c>
      <c r="C24" s="348"/>
      <c r="D24" s="348"/>
      <c r="E24" s="348"/>
      <c r="F24" s="348"/>
      <c r="G24" s="348"/>
      <c r="H24" s="348"/>
      <c r="I24" s="348"/>
      <c r="J24" s="348"/>
      <c r="K24" s="348"/>
      <c r="L24" s="348"/>
      <c r="M24" s="348"/>
      <c r="N24" s="348"/>
      <c r="O24" s="348"/>
      <c r="P24" s="348"/>
      <c r="Q24" s="348"/>
      <c r="R24" s="348"/>
      <c r="S24" s="348"/>
      <c r="T24" s="348"/>
      <c r="U24" s="348"/>
      <c r="V24" s="348"/>
      <c r="W24" s="348"/>
      <c r="X24" s="348"/>
      <c r="Y24" s="348"/>
    </row>
    <row r="25" spans="1:25" s="338" customFormat="1" ht="16.5" customHeight="1" x14ac:dyDescent="0.25">
      <c r="A25" s="347">
        <v>23</v>
      </c>
      <c r="B25" s="469" t="s">
        <v>78</v>
      </c>
      <c r="C25" s="470"/>
      <c r="D25" s="470"/>
      <c r="E25" s="470"/>
      <c r="F25" s="470"/>
      <c r="G25" s="470"/>
      <c r="H25" s="470"/>
      <c r="I25" s="470"/>
      <c r="J25" s="470"/>
      <c r="K25" s="470"/>
      <c r="L25" s="470"/>
      <c r="M25" s="470"/>
      <c r="N25" s="470"/>
      <c r="O25" s="470"/>
      <c r="P25" s="470"/>
      <c r="Q25" s="470"/>
      <c r="R25" s="470"/>
      <c r="S25" s="470"/>
      <c r="T25" s="470"/>
      <c r="U25" s="470"/>
      <c r="V25" s="470"/>
      <c r="W25" s="470"/>
      <c r="X25" s="470"/>
      <c r="Y25" s="470"/>
    </row>
    <row r="26" spans="1:25" s="338" customFormat="1" ht="16.5" customHeight="1" x14ac:dyDescent="0.25">
      <c r="A26" s="347">
        <v>24</v>
      </c>
      <c r="B26" s="349" t="s">
        <v>79</v>
      </c>
      <c r="C26" s="348"/>
      <c r="D26" s="348"/>
      <c r="E26" s="348"/>
      <c r="F26" s="348"/>
      <c r="G26" s="348"/>
      <c r="H26" s="348"/>
      <c r="I26" s="348"/>
      <c r="J26" s="348"/>
      <c r="K26" s="348"/>
      <c r="L26" s="348"/>
      <c r="M26" s="348"/>
      <c r="N26" s="348"/>
      <c r="O26" s="348"/>
      <c r="P26" s="348"/>
      <c r="Q26" s="348"/>
      <c r="R26" s="348"/>
      <c r="S26" s="348"/>
      <c r="T26" s="348"/>
      <c r="U26" s="348"/>
      <c r="V26" s="348"/>
      <c r="W26" s="348"/>
      <c r="X26" s="348"/>
      <c r="Y26" s="348"/>
    </row>
    <row r="27" spans="1:25" s="338" customFormat="1" ht="16.5" customHeight="1" x14ac:dyDescent="0.25">
      <c r="A27" s="347">
        <v>25</v>
      </c>
      <c r="B27" s="351" t="s">
        <v>97</v>
      </c>
      <c r="C27" s="348"/>
      <c r="D27" s="348"/>
      <c r="E27" s="348"/>
      <c r="F27" s="348"/>
      <c r="G27" s="348"/>
      <c r="H27" s="348"/>
      <c r="I27" s="348"/>
      <c r="J27" s="348"/>
      <c r="K27" s="348"/>
      <c r="L27" s="348"/>
      <c r="M27" s="348"/>
      <c r="N27" s="348"/>
      <c r="O27" s="348"/>
      <c r="P27" s="348"/>
      <c r="Q27" s="348"/>
      <c r="R27" s="348"/>
      <c r="S27" s="348"/>
      <c r="T27" s="348"/>
      <c r="U27" s="348"/>
      <c r="V27" s="348"/>
      <c r="W27" s="348"/>
      <c r="X27" s="348"/>
      <c r="Y27" s="348"/>
    </row>
    <row r="28" spans="1:25" s="338" customFormat="1" ht="16.5" customHeight="1" x14ac:dyDescent="0.25">
      <c r="A28" s="347">
        <v>26</v>
      </c>
      <c r="B28" s="351" t="s">
        <v>80</v>
      </c>
      <c r="C28" s="348"/>
      <c r="D28" s="348"/>
      <c r="E28" s="348"/>
      <c r="F28" s="348"/>
      <c r="G28" s="348"/>
      <c r="H28" s="348"/>
      <c r="I28" s="348"/>
      <c r="J28" s="348"/>
      <c r="K28" s="348"/>
      <c r="L28" s="348"/>
      <c r="M28" s="348"/>
      <c r="N28" s="348"/>
      <c r="O28" s="348"/>
      <c r="P28" s="348"/>
      <c r="Q28" s="348"/>
      <c r="R28" s="348"/>
      <c r="S28" s="348"/>
      <c r="T28" s="348"/>
      <c r="U28" s="348"/>
      <c r="V28" s="348"/>
      <c r="W28" s="348"/>
      <c r="X28" s="348"/>
      <c r="Y28" s="348"/>
    </row>
    <row r="29" spans="1:25" s="338" customFormat="1" ht="16.5" customHeight="1" x14ac:dyDescent="0.25">
      <c r="A29" s="347">
        <v>27</v>
      </c>
      <c r="B29" s="348" t="s">
        <v>163</v>
      </c>
      <c r="C29" s="348"/>
      <c r="D29" s="348"/>
      <c r="E29" s="348"/>
      <c r="F29" s="348"/>
      <c r="G29" s="348"/>
      <c r="H29" s="348"/>
      <c r="I29" s="348"/>
      <c r="J29" s="348"/>
      <c r="K29" s="348"/>
      <c r="L29" s="348"/>
      <c r="M29" s="348"/>
      <c r="N29" s="348"/>
      <c r="O29" s="348"/>
      <c r="P29" s="348"/>
      <c r="Q29" s="348"/>
      <c r="R29" s="348"/>
      <c r="S29" s="348"/>
      <c r="T29" s="348"/>
      <c r="U29" s="348"/>
      <c r="V29" s="348"/>
      <c r="W29" s="348"/>
      <c r="X29" s="348"/>
      <c r="Y29" s="348"/>
    </row>
    <row r="30" spans="1:25" s="338" customFormat="1" ht="16.5" customHeight="1" x14ac:dyDescent="0.25">
      <c r="A30" s="347">
        <v>28</v>
      </c>
      <c r="B30" s="348" t="s">
        <v>82</v>
      </c>
      <c r="C30" s="348"/>
      <c r="D30" s="348"/>
      <c r="E30" s="348"/>
      <c r="F30" s="348"/>
      <c r="G30" s="348"/>
      <c r="H30" s="348"/>
      <c r="I30" s="348"/>
      <c r="J30" s="348"/>
      <c r="K30" s="348"/>
      <c r="L30" s="348"/>
      <c r="M30" s="348"/>
      <c r="N30" s="348"/>
      <c r="O30" s="348"/>
      <c r="P30" s="348"/>
      <c r="Q30" s="348"/>
      <c r="R30" s="348"/>
      <c r="S30" s="348"/>
      <c r="T30" s="348"/>
      <c r="U30" s="348"/>
      <c r="V30" s="348"/>
      <c r="W30" s="348"/>
      <c r="X30" s="348"/>
      <c r="Y30" s="348"/>
    </row>
    <row r="31" spans="1:25" s="338" customFormat="1" ht="16.5" customHeight="1" x14ac:dyDescent="0.25">
      <c r="A31" s="347">
        <v>29</v>
      </c>
      <c r="B31" s="348" t="s">
        <v>83</v>
      </c>
      <c r="C31" s="348"/>
      <c r="D31" s="348"/>
      <c r="E31" s="348"/>
      <c r="F31" s="348"/>
      <c r="G31" s="348"/>
      <c r="H31" s="348"/>
      <c r="I31" s="348"/>
      <c r="J31" s="348"/>
      <c r="K31" s="348"/>
      <c r="L31" s="348"/>
      <c r="M31" s="348"/>
      <c r="N31" s="348"/>
      <c r="O31" s="348"/>
      <c r="P31" s="348"/>
      <c r="Q31" s="348"/>
      <c r="R31" s="348"/>
      <c r="S31" s="348"/>
      <c r="T31" s="348"/>
      <c r="U31" s="348"/>
      <c r="V31" s="348"/>
      <c r="W31" s="348"/>
      <c r="X31" s="348"/>
      <c r="Y31" s="348"/>
    </row>
    <row r="32" spans="1:25" s="338" customFormat="1" ht="16.5" customHeight="1" x14ac:dyDescent="0.25">
      <c r="A32" s="352">
        <v>30</v>
      </c>
      <c r="B32" s="353" t="s">
        <v>86</v>
      </c>
      <c r="C32" s="353"/>
      <c r="D32" s="353"/>
      <c r="E32" s="348"/>
      <c r="F32" s="348"/>
      <c r="G32" s="348"/>
      <c r="H32" s="348"/>
      <c r="I32" s="348"/>
      <c r="J32" s="348"/>
      <c r="K32" s="348"/>
      <c r="L32" s="348"/>
      <c r="M32" s="348"/>
      <c r="N32" s="348"/>
      <c r="O32" s="348"/>
      <c r="P32" s="348"/>
      <c r="Q32" s="348"/>
      <c r="R32" s="348"/>
      <c r="S32" s="348"/>
      <c r="T32" s="348"/>
      <c r="U32" s="348"/>
      <c r="V32" s="348"/>
      <c r="W32" s="348"/>
      <c r="X32" s="348"/>
      <c r="Y32" s="348"/>
    </row>
    <row r="33" spans="1:25" s="338" customFormat="1" ht="16.5" customHeight="1" x14ac:dyDescent="0.25">
      <c r="A33" s="352">
        <v>31</v>
      </c>
      <c r="B33" s="353" t="s">
        <v>87</v>
      </c>
      <c r="C33" s="353"/>
      <c r="D33" s="353"/>
      <c r="E33" s="348"/>
      <c r="F33" s="348"/>
      <c r="G33" s="348"/>
      <c r="H33" s="348"/>
      <c r="I33" s="348"/>
      <c r="J33" s="348"/>
      <c r="K33" s="348"/>
      <c r="L33" s="348"/>
      <c r="M33" s="348"/>
      <c r="N33" s="348"/>
      <c r="O33" s="348"/>
      <c r="P33" s="348"/>
      <c r="Q33" s="348"/>
      <c r="R33" s="348"/>
      <c r="S33" s="348"/>
      <c r="T33" s="348"/>
      <c r="U33" s="348"/>
      <c r="V33" s="348"/>
      <c r="W33" s="348"/>
      <c r="X33" s="348"/>
      <c r="Y33" s="348"/>
    </row>
    <row r="34" spans="1:25" x14ac:dyDescent="0.2">
      <c r="A34" s="346"/>
      <c r="B34" s="344"/>
      <c r="C34" s="344"/>
      <c r="D34" s="344"/>
    </row>
    <row r="35" spans="1:25" x14ac:dyDescent="0.2">
      <c r="A35" s="471" t="s">
        <v>521</v>
      </c>
    </row>
  </sheetData>
  <sheetProtection formatCells="0" formatColumns="0" formatRows="0" insertColumns="0" insertRows="0"/>
  <customSheetViews>
    <customSheetView guid="{E65377FD-65C5-4E48-ADBC-1C49981F2400}" topLeftCell="A7">
      <selection activeCell="B28" sqref="B28"/>
      <pageMargins left="0.7" right="0.7" top="0.75" bottom="0.75" header="0.3" footer="0.3"/>
      <pageSetup orientation="portrait" r:id="rId1"/>
    </customSheetView>
  </customSheetViews>
  <mergeCells count="1">
    <mergeCell ref="B25:Y25"/>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6"/>
  <sheetViews>
    <sheetView showGridLines="0" topLeftCell="A4" workbookViewId="0">
      <selection activeCell="A19" sqref="A19"/>
    </sheetView>
  </sheetViews>
  <sheetFormatPr defaultColWidth="9.140625" defaultRowHeight="15" x14ac:dyDescent="0.25"/>
  <cols>
    <col min="1" max="1" width="11.7109375" style="20" customWidth="1"/>
    <col min="2" max="2" width="75.140625" style="338" customWidth="1"/>
    <col min="3" max="3" width="8.42578125" style="338" customWidth="1"/>
    <col min="4" max="4" width="11.7109375" style="338" customWidth="1"/>
    <col min="5" max="5" width="72.28515625" style="338" customWidth="1"/>
    <col min="6" max="16384" width="9.140625" style="338"/>
  </cols>
  <sheetData>
    <row r="1" spans="1:5" ht="33.75" x14ac:dyDescent="0.5">
      <c r="A1" s="371" t="s">
        <v>20</v>
      </c>
    </row>
    <row r="2" spans="1:5" x14ac:dyDescent="0.25">
      <c r="A2" s="24"/>
    </row>
    <row r="3" spans="1:5" ht="18.75" x14ac:dyDescent="0.3">
      <c r="A3" s="354" t="s">
        <v>72</v>
      </c>
      <c r="B3" s="355" t="s">
        <v>277</v>
      </c>
      <c r="C3" s="356"/>
      <c r="D3" s="354" t="s">
        <v>21</v>
      </c>
      <c r="E3" s="409" t="s">
        <v>171</v>
      </c>
    </row>
    <row r="4" spans="1:5" ht="18.75" x14ac:dyDescent="0.3">
      <c r="A4" s="354" t="s">
        <v>6</v>
      </c>
      <c r="B4" s="355" t="s">
        <v>278</v>
      </c>
      <c r="C4" s="356"/>
      <c r="D4" s="354" t="s">
        <v>24</v>
      </c>
      <c r="E4" s="409" t="s">
        <v>172</v>
      </c>
    </row>
    <row r="5" spans="1:5" ht="18.75" x14ac:dyDescent="0.3">
      <c r="A5" s="357" t="s">
        <v>88</v>
      </c>
      <c r="B5" s="358" t="s">
        <v>279</v>
      </c>
      <c r="C5" s="359"/>
      <c r="D5" s="354" t="s">
        <v>62</v>
      </c>
      <c r="E5" s="409" t="s">
        <v>173</v>
      </c>
    </row>
    <row r="6" spans="1:5" ht="18.75" x14ac:dyDescent="0.3">
      <c r="A6" s="360" t="s">
        <v>23</v>
      </c>
      <c r="B6" s="361" t="s">
        <v>164</v>
      </c>
      <c r="C6" s="359"/>
      <c r="D6" s="354" t="s">
        <v>63</v>
      </c>
      <c r="E6" s="409" t="s">
        <v>174</v>
      </c>
    </row>
    <row r="7" spans="1:5" ht="18.75" x14ac:dyDescent="0.3">
      <c r="A7" s="354" t="s">
        <v>7</v>
      </c>
      <c r="B7" s="355" t="s">
        <v>280</v>
      </c>
      <c r="C7" s="359"/>
      <c r="D7" s="354" t="s">
        <v>10</v>
      </c>
      <c r="E7" s="409" t="s">
        <v>176</v>
      </c>
    </row>
    <row r="8" spans="1:5" ht="37.5" x14ac:dyDescent="0.3">
      <c r="A8" s="354" t="s">
        <v>8</v>
      </c>
      <c r="B8" s="355" t="s">
        <v>165</v>
      </c>
      <c r="C8" s="359"/>
      <c r="D8" s="354" t="s">
        <v>33</v>
      </c>
      <c r="E8" s="409" t="s">
        <v>175</v>
      </c>
    </row>
    <row r="9" spans="1:5" ht="18.75" x14ac:dyDescent="0.3">
      <c r="A9" s="354" t="s">
        <v>27</v>
      </c>
      <c r="B9" s="355" t="s">
        <v>166</v>
      </c>
      <c r="C9" s="359"/>
      <c r="D9" s="354" t="s">
        <v>2</v>
      </c>
      <c r="E9" s="409" t="s">
        <v>283</v>
      </c>
    </row>
    <row r="10" spans="1:5" ht="18.75" x14ac:dyDescent="0.3">
      <c r="A10" s="357" t="s">
        <v>85</v>
      </c>
      <c r="B10" s="358" t="s">
        <v>167</v>
      </c>
      <c r="C10" s="359"/>
      <c r="D10" s="362" t="s">
        <v>64</v>
      </c>
      <c r="E10" s="410" t="s">
        <v>177</v>
      </c>
    </row>
    <row r="11" spans="1:5" ht="18.75" x14ac:dyDescent="0.3">
      <c r="A11" s="354" t="s">
        <v>25</v>
      </c>
      <c r="B11" s="355" t="s">
        <v>179</v>
      </c>
      <c r="C11" s="356"/>
      <c r="D11" s="354" t="s">
        <v>36</v>
      </c>
      <c r="E11" s="409" t="s">
        <v>66</v>
      </c>
    </row>
    <row r="12" spans="1:5" ht="18.75" x14ac:dyDescent="0.3">
      <c r="A12" s="354" t="s">
        <v>37</v>
      </c>
      <c r="B12" s="355" t="s">
        <v>282</v>
      </c>
      <c r="C12" s="356"/>
      <c r="D12" s="356"/>
      <c r="E12" s="356"/>
    </row>
    <row r="13" spans="1:5" ht="18.75" x14ac:dyDescent="0.3">
      <c r="A13" s="354" t="s">
        <v>4</v>
      </c>
      <c r="B13" s="355" t="s">
        <v>281</v>
      </c>
      <c r="C13" s="356"/>
      <c r="D13" s="356"/>
      <c r="E13" s="356"/>
    </row>
    <row r="14" spans="1:5" ht="18.75" x14ac:dyDescent="0.3">
      <c r="A14" s="354" t="s">
        <v>26</v>
      </c>
      <c r="B14" s="355" t="s">
        <v>168</v>
      </c>
      <c r="C14" s="356"/>
      <c r="D14" s="356"/>
      <c r="E14" s="356"/>
    </row>
    <row r="15" spans="1:5" ht="18.75" x14ac:dyDescent="0.3">
      <c r="A15" s="354" t="s">
        <v>34</v>
      </c>
      <c r="B15" s="355" t="s">
        <v>169</v>
      </c>
      <c r="C15" s="356"/>
      <c r="D15" s="356"/>
      <c r="E15" s="356"/>
    </row>
    <row r="16" spans="1:5" ht="18.75" x14ac:dyDescent="0.3">
      <c r="A16" s="354" t="s">
        <v>22</v>
      </c>
      <c r="B16" s="355" t="s">
        <v>170</v>
      </c>
      <c r="C16" s="356"/>
      <c r="D16" s="356"/>
      <c r="E16" s="356"/>
    </row>
    <row r="17" spans="1:5" ht="18.75" x14ac:dyDescent="0.3">
      <c r="A17" s="354" t="s">
        <v>5</v>
      </c>
      <c r="B17" s="355" t="s">
        <v>276</v>
      </c>
      <c r="C17" s="356"/>
      <c r="D17" s="356"/>
      <c r="E17" s="356"/>
    </row>
    <row r="18" spans="1:5" x14ac:dyDescent="0.25">
      <c r="A18" s="338"/>
    </row>
    <row r="19" spans="1:5" x14ac:dyDescent="0.25">
      <c r="A19" s="471" t="s">
        <v>521</v>
      </c>
    </row>
    <row r="20" spans="1:5" x14ac:dyDescent="0.25">
      <c r="A20" s="338"/>
    </row>
    <row r="21" spans="1:5" x14ac:dyDescent="0.25">
      <c r="A21" s="338"/>
    </row>
    <row r="22" spans="1:5" x14ac:dyDescent="0.25">
      <c r="A22" s="338"/>
    </row>
    <row r="23" spans="1:5" x14ac:dyDescent="0.25">
      <c r="A23" s="338"/>
    </row>
    <row r="24" spans="1:5" x14ac:dyDescent="0.25">
      <c r="A24" s="338"/>
    </row>
    <row r="25" spans="1:5" x14ac:dyDescent="0.25">
      <c r="A25" s="338"/>
      <c r="C25" s="10"/>
    </row>
    <row r="26" spans="1:5" x14ac:dyDescent="0.25">
      <c r="A26" s="338"/>
    </row>
  </sheetData>
  <sheetProtection formatCells="0" formatColumns="0" formatRows="0" insertColumns="0" insertRow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sheetPr>
  <dimension ref="A1:J11"/>
  <sheetViews>
    <sheetView showGridLines="0" workbookViewId="0">
      <selection activeCell="A5" sqref="A5"/>
    </sheetView>
  </sheetViews>
  <sheetFormatPr defaultColWidth="9.140625" defaultRowHeight="15" x14ac:dyDescent="0.25"/>
  <cols>
    <col min="1" max="1" width="184.28515625" customWidth="1"/>
    <col min="2" max="2" width="12" customWidth="1"/>
  </cols>
  <sheetData>
    <row r="1" spans="1:10" s="341" customFormat="1" ht="30.75" customHeight="1" x14ac:dyDescent="0.5">
      <c r="A1" s="372" t="s">
        <v>520</v>
      </c>
    </row>
    <row r="2" spans="1:10" s="341" customFormat="1" ht="81.75" customHeight="1" thickBot="1" x14ac:dyDescent="0.3">
      <c r="A2" s="342" t="s">
        <v>178</v>
      </c>
    </row>
    <row r="3" spans="1:10" ht="287.25" customHeight="1" thickTop="1" thickBot="1" x14ac:dyDescent="0.3">
      <c r="A3" s="373" t="s">
        <v>366</v>
      </c>
    </row>
    <row r="4" spans="1:10" ht="15.75" thickTop="1" x14ac:dyDescent="0.25">
      <c r="A4" t="s">
        <v>162</v>
      </c>
    </row>
    <row r="5" spans="1:10" x14ac:dyDescent="0.25">
      <c r="A5" s="471" t="s">
        <v>521</v>
      </c>
    </row>
    <row r="7" spans="1:10" s="11" customFormat="1" ht="15" customHeight="1" x14ac:dyDescent="0.25"/>
    <row r="8" spans="1:10" s="11" customFormat="1" ht="19.5" customHeight="1" x14ac:dyDescent="0.25">
      <c r="C8" s="23"/>
      <c r="D8" s="23"/>
      <c r="E8" s="23"/>
      <c r="F8" s="23"/>
      <c r="G8" s="23"/>
      <c r="H8" s="23"/>
      <c r="I8" s="23"/>
      <c r="J8" s="23"/>
    </row>
    <row r="9" spans="1:10" s="11" customFormat="1" ht="16.5" customHeight="1" x14ac:dyDescent="0.25">
      <c r="C9" s="23"/>
      <c r="D9" s="23"/>
      <c r="E9" s="23"/>
      <c r="F9" s="23"/>
      <c r="G9" s="23"/>
      <c r="H9" s="23"/>
      <c r="I9" s="23"/>
      <c r="J9" s="23"/>
    </row>
    <row r="10" spans="1:10" s="11" customFormat="1" ht="15.75" customHeight="1" x14ac:dyDescent="0.25">
      <c r="C10" s="23"/>
      <c r="D10" s="23"/>
      <c r="E10" s="23"/>
      <c r="F10" s="23"/>
      <c r="G10" s="23"/>
      <c r="H10" s="23"/>
      <c r="I10" s="23"/>
      <c r="J10" s="23"/>
    </row>
    <row r="11" spans="1:10" ht="17.25" customHeight="1" x14ac:dyDescent="0.25"/>
  </sheetData>
  <customSheetViews>
    <customSheetView guid="{E65377FD-65C5-4E48-ADBC-1C49981F2400}">
      <selection activeCell="B3" sqref="B3:P3"/>
      <pageMargins left="0.7" right="0.7" top="0.75" bottom="0.75" header="0.3" footer="0.3"/>
      <pageSetup orientation="portrait" r:id="rId1"/>
    </customSheetView>
  </customSheetView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68"/>
  <sheetViews>
    <sheetView showGridLines="0" workbookViewId="0">
      <selection activeCell="A16" sqref="A16"/>
    </sheetView>
  </sheetViews>
  <sheetFormatPr defaultColWidth="9.140625" defaultRowHeight="15" x14ac:dyDescent="0.25"/>
  <cols>
    <col min="1" max="1" width="32.7109375" bestFit="1" customWidth="1"/>
    <col min="2" max="2" width="10.140625" bestFit="1" customWidth="1"/>
    <col min="3" max="3" width="15.28515625" customWidth="1"/>
    <col min="4" max="4" width="11.28515625" customWidth="1"/>
    <col min="5" max="5" width="12" customWidth="1"/>
    <col min="6" max="6" width="9.140625" customWidth="1"/>
    <col min="7" max="7" width="15.42578125" bestFit="1" customWidth="1"/>
    <col min="8" max="8" width="14.7109375" customWidth="1"/>
    <col min="9" max="9" width="9.85546875" bestFit="1" customWidth="1"/>
    <col min="10" max="10" width="10.42578125" customWidth="1"/>
    <col min="11" max="11" width="8.28515625" customWidth="1"/>
    <col min="13" max="13" width="26" customWidth="1"/>
    <col min="15" max="15" width="11.28515625" customWidth="1"/>
  </cols>
  <sheetData>
    <row r="1" spans="1:19" ht="33.75" x14ac:dyDescent="0.5">
      <c r="A1" s="369" t="s">
        <v>180</v>
      </c>
      <c r="B1" s="11"/>
      <c r="C1" s="11"/>
      <c r="D1" s="11"/>
      <c r="E1" s="11"/>
      <c r="F1" s="11"/>
      <c r="G1" s="11"/>
      <c r="H1" s="11"/>
      <c r="I1" s="11"/>
    </row>
    <row r="2" spans="1:19" s="280" customFormat="1" x14ac:dyDescent="0.25">
      <c r="A2" s="278"/>
      <c r="B2" s="279"/>
      <c r="C2" s="279"/>
      <c r="D2" s="279"/>
      <c r="E2" s="279"/>
      <c r="F2" s="279"/>
      <c r="G2" s="279"/>
      <c r="H2" s="279"/>
      <c r="I2" s="279"/>
    </row>
    <row r="3" spans="1:19" s="280" customFormat="1" ht="75" x14ac:dyDescent="0.25">
      <c r="A3" s="411" t="s">
        <v>189</v>
      </c>
      <c r="B3" s="299"/>
      <c r="C3" s="299"/>
      <c r="D3" s="299"/>
      <c r="E3" s="299"/>
      <c r="F3" s="279"/>
      <c r="G3" s="279"/>
      <c r="H3" s="279"/>
      <c r="I3" s="279"/>
    </row>
    <row r="4" spans="1:19" s="280" customFormat="1" ht="18" x14ac:dyDescent="0.35">
      <c r="A4" s="300"/>
      <c r="B4" s="301" t="s">
        <v>136</v>
      </c>
      <c r="C4" s="300" t="s">
        <v>137</v>
      </c>
      <c r="D4" s="301" t="s">
        <v>138</v>
      </c>
      <c r="E4" s="299"/>
      <c r="F4" s="279"/>
      <c r="G4" s="279"/>
      <c r="H4" s="279" t="str">
        <f>A5</f>
        <v>Défrichement</v>
      </c>
      <c r="I4" s="325">
        <f>B5</f>
        <v>0</v>
      </c>
    </row>
    <row r="5" spans="1:19" s="280" customFormat="1" x14ac:dyDescent="0.25">
      <c r="A5" s="300" t="s">
        <v>181</v>
      </c>
      <c r="B5" s="302">
        <f>'1. Emissions CAT'!C60</f>
        <v>0</v>
      </c>
      <c r="C5" s="303" t="e">
        <f>B5/'1. Emissions CAT'!C$59</f>
        <v>#DIV/0!</v>
      </c>
      <c r="D5" s="304" t="e">
        <f>B5/'2. Production regimes (FFB)'!B$8</f>
        <v>#DIV/0!</v>
      </c>
      <c r="E5" s="299"/>
      <c r="F5" s="279"/>
      <c r="G5" s="279"/>
      <c r="H5" s="279" t="str">
        <f>A6</f>
        <v>Séquestration de la cuture agricole</v>
      </c>
      <c r="I5" s="325">
        <f>B6</f>
        <v>0</v>
      </c>
    </row>
    <row r="6" spans="1:19" s="280" customFormat="1" x14ac:dyDescent="0.25">
      <c r="A6" s="300" t="s">
        <v>186</v>
      </c>
      <c r="B6" s="302">
        <f>0-('8. Sequestration des cultures'!Q31*'1. Emissions CAT'!C59)</f>
        <v>0</v>
      </c>
      <c r="C6" s="303" t="e">
        <f>B6/'1. Emissions CAT'!C$59</f>
        <v>#DIV/0!</v>
      </c>
      <c r="D6" s="304" t="e">
        <f>B6/'2. Production regimes (FFB)'!B$8</f>
        <v>#DIV/0!</v>
      </c>
      <c r="E6" s="299"/>
      <c r="F6" s="279"/>
      <c r="G6" s="279"/>
      <c r="H6" s="279" t="s">
        <v>187</v>
      </c>
      <c r="I6" s="325">
        <f>B7+B8</f>
        <v>0</v>
      </c>
    </row>
    <row r="7" spans="1:19" s="280" customFormat="1" x14ac:dyDescent="0.25">
      <c r="A7" s="300" t="s">
        <v>182</v>
      </c>
      <c r="B7" s="302">
        <f>'6. Engrais et N2O'!G53+'6. Engrais et N2O'!I53</f>
        <v>0</v>
      </c>
      <c r="C7" s="303" t="e">
        <f>B7/'1. Emissions CAT'!C$59</f>
        <v>#DIV/0!</v>
      </c>
      <c r="D7" s="304" t="e">
        <f>B7/'2. Production regimes (FFB)'!B$8</f>
        <v>#DIV/0!</v>
      </c>
      <c r="E7" s="299"/>
      <c r="F7" s="279"/>
      <c r="G7" s="279"/>
      <c r="H7" s="279" t="str">
        <f t="shared" ref="H7:I9" si="0">A9</f>
        <v>Carburant consommé sur le terrain</v>
      </c>
      <c r="I7" s="325">
        <f t="shared" si="0"/>
        <v>0</v>
      </c>
    </row>
    <row r="8" spans="1:19" s="280" customFormat="1" x14ac:dyDescent="0.25">
      <c r="A8" s="300" t="s">
        <v>9</v>
      </c>
      <c r="B8" s="302">
        <f>'6. Engrais et N2O'!E93</f>
        <v>0</v>
      </c>
      <c r="C8" s="303" t="e">
        <f>B8/'1. Emissions CAT'!C$59</f>
        <v>#DIV/0!</v>
      </c>
      <c r="D8" s="304" t="e">
        <f>B8/'2. Production regimes (FFB)'!B$8</f>
        <v>#DIV/0!</v>
      </c>
      <c r="E8" s="299"/>
      <c r="F8" s="279"/>
      <c r="G8" s="279"/>
      <c r="H8" s="279" t="str">
        <f t="shared" si="0"/>
        <v>Tourbe</v>
      </c>
      <c r="I8" s="325">
        <f t="shared" si="0"/>
        <v>0</v>
      </c>
    </row>
    <row r="9" spans="1:19" s="280" customFormat="1" x14ac:dyDescent="0.25">
      <c r="A9" s="300" t="s">
        <v>183</v>
      </c>
      <c r="B9" s="302">
        <f>'3. Carburant terrain'!C17</f>
        <v>0</v>
      </c>
      <c r="C9" s="303" t="e">
        <f>B9/'1. Emissions CAT'!C$59</f>
        <v>#DIV/0!</v>
      </c>
      <c r="D9" s="304" t="e">
        <f>B9/'2. Production regimes (FFB)'!B$8</f>
        <v>#DIV/0!</v>
      </c>
      <c r="E9" s="299"/>
      <c r="F9" s="279"/>
      <c r="G9" s="279"/>
      <c r="H9" s="279" t="str">
        <f t="shared" si="0"/>
        <v>Crédit de conservation</v>
      </c>
      <c r="I9" s="325">
        <f t="shared" si="0"/>
        <v>0</v>
      </c>
    </row>
    <row r="10" spans="1:19" s="280" customFormat="1" x14ac:dyDescent="0.25">
      <c r="A10" s="300" t="s">
        <v>184</v>
      </c>
      <c r="B10" s="302">
        <f>'4. Tourbe'!B18</f>
        <v>0</v>
      </c>
      <c r="C10" s="303" t="e">
        <f>B10/'1. Emissions CAT'!C$59</f>
        <v>#DIV/0!</v>
      </c>
      <c r="D10" s="304" t="e">
        <f>B10/'2. Production regimes (FFB)'!B$8</f>
        <v>#DIV/0!</v>
      </c>
      <c r="E10" s="299"/>
      <c r="F10" s="279"/>
      <c r="G10" s="279"/>
      <c r="H10" s="279"/>
      <c r="I10" s="279"/>
    </row>
    <row r="11" spans="1:19" s="280" customFormat="1" x14ac:dyDescent="0.25">
      <c r="A11" s="300" t="s">
        <v>185</v>
      </c>
      <c r="B11" s="302">
        <f>0-'7. Seq.Bloc Conservation'!C8</f>
        <v>0</v>
      </c>
      <c r="C11" s="303" t="e">
        <f>B11/'1. Emissions CAT'!C$59</f>
        <v>#DIV/0!</v>
      </c>
      <c r="D11" s="304" t="e">
        <f>B11/'2. Production regimes (FFB)'!B$8</f>
        <v>#DIV/0!</v>
      </c>
      <c r="E11" s="299"/>
      <c r="F11" s="279"/>
      <c r="G11" s="279"/>
      <c r="H11" s="279"/>
      <c r="I11" s="279"/>
    </row>
    <row r="12" spans="1:19" ht="15.75" thickBot="1" x14ac:dyDescent="0.3">
      <c r="A12" s="305" t="s">
        <v>1</v>
      </c>
      <c r="B12" s="306">
        <f>SUM(B5:B11)</f>
        <v>0</v>
      </c>
      <c r="C12" s="306" t="e">
        <f>B12/'1. Emissions CAT'!C59</f>
        <v>#DIV/0!</v>
      </c>
      <c r="D12" s="307" t="e">
        <f>B12/'2. Production regimes (FFB)'!B$8</f>
        <v>#DIV/0!</v>
      </c>
      <c r="E12" s="300"/>
      <c r="M12" s="152"/>
      <c r="N12" s="152"/>
      <c r="O12" s="152"/>
      <c r="P12" s="152"/>
      <c r="Q12" s="152"/>
      <c r="R12" s="152"/>
      <c r="S12" s="152"/>
    </row>
    <row r="13" spans="1:19" s="311" customFormat="1" ht="15.75" thickTop="1" x14ac:dyDescent="0.25">
      <c r="A13" s="313"/>
      <c r="B13" s="314"/>
      <c r="C13" s="314"/>
      <c r="D13" s="315"/>
      <c r="E13" s="300"/>
      <c r="M13" s="152"/>
      <c r="N13" s="152"/>
      <c r="O13" s="152"/>
      <c r="P13" s="152"/>
      <c r="Q13" s="152"/>
      <c r="R13" s="152"/>
      <c r="S13" s="152"/>
    </row>
    <row r="14" spans="1:19" s="311" customFormat="1" x14ac:dyDescent="0.25">
      <c r="A14" s="316"/>
      <c r="B14" s="317"/>
      <c r="C14" s="317"/>
      <c r="D14" s="318"/>
      <c r="E14" s="152"/>
      <c r="M14" s="152"/>
      <c r="N14" s="152"/>
      <c r="O14" s="152"/>
      <c r="P14" s="152"/>
      <c r="Q14" s="152"/>
      <c r="R14" s="152"/>
      <c r="S14" s="152"/>
    </row>
    <row r="15" spans="1:19" s="311" customFormat="1" x14ac:dyDescent="0.25">
      <c r="A15" s="316"/>
      <c r="B15" s="317"/>
      <c r="C15" s="317"/>
      <c r="D15" s="318"/>
      <c r="E15" s="152"/>
      <c r="M15" s="152"/>
      <c r="N15" s="152"/>
      <c r="O15" s="152"/>
      <c r="P15" s="152"/>
      <c r="Q15" s="152"/>
      <c r="R15" s="152"/>
      <c r="S15" s="152"/>
    </row>
    <row r="16" spans="1:19" s="311" customFormat="1" x14ac:dyDescent="0.25">
      <c r="A16" s="471" t="s">
        <v>521</v>
      </c>
      <c r="B16" s="317"/>
      <c r="C16" s="317"/>
      <c r="D16" s="318"/>
      <c r="E16" s="152"/>
      <c r="M16" s="152"/>
      <c r="N16" s="152"/>
      <c r="O16" s="152"/>
      <c r="P16" s="152"/>
      <c r="Q16" s="152"/>
      <c r="R16" s="152"/>
      <c r="S16" s="152"/>
    </row>
    <row r="17" spans="1:19" s="311" customFormat="1" x14ac:dyDescent="0.25">
      <c r="A17" s="316"/>
      <c r="B17" s="317"/>
      <c r="C17" s="317"/>
      <c r="D17" s="318"/>
      <c r="E17" s="152"/>
      <c r="M17" s="152"/>
      <c r="N17" s="152"/>
      <c r="O17" s="152"/>
      <c r="P17" s="152"/>
      <c r="Q17" s="152"/>
      <c r="R17" s="152"/>
      <c r="S17" s="152"/>
    </row>
    <row r="18" spans="1:19" s="324" customFormat="1" ht="15.75" thickBot="1" x14ac:dyDescent="0.3">
      <c r="A18" s="320"/>
      <c r="B18" s="321"/>
      <c r="C18" s="321"/>
      <c r="D18" s="322"/>
      <c r="E18" s="323"/>
      <c r="M18" s="323"/>
      <c r="N18" s="323"/>
      <c r="O18" s="323"/>
      <c r="P18" s="323"/>
      <c r="Q18" s="323"/>
      <c r="R18" s="323"/>
      <c r="S18" s="323"/>
    </row>
    <row r="19" spans="1:19" s="311" customFormat="1" ht="15.75" thickTop="1" x14ac:dyDescent="0.25">
      <c r="A19" s="310" t="s">
        <v>188</v>
      </c>
      <c r="B19" s="317"/>
      <c r="C19" s="317"/>
      <c r="D19" s="318"/>
      <c r="E19" s="152"/>
      <c r="M19" s="152"/>
      <c r="N19" s="152"/>
      <c r="O19" s="152"/>
      <c r="P19" s="152"/>
      <c r="Q19" s="152"/>
      <c r="R19" s="152"/>
      <c r="S19" s="152"/>
    </row>
    <row r="20" spans="1:19" ht="15.75" thickBot="1" x14ac:dyDescent="0.3">
      <c r="A20" s="152"/>
      <c r="B20" s="319"/>
      <c r="C20" s="319"/>
      <c r="D20" s="152"/>
      <c r="E20" s="152"/>
      <c r="G20" s="7" t="s">
        <v>191</v>
      </c>
      <c r="J20" s="242"/>
      <c r="K20" s="243"/>
      <c r="M20" s="152"/>
      <c r="N20" s="153"/>
      <c r="O20" s="153"/>
      <c r="P20" s="153"/>
      <c r="Q20" s="152"/>
      <c r="R20" s="152"/>
      <c r="S20" s="152"/>
    </row>
    <row r="21" spans="1:19" ht="18.75" thickBot="1" x14ac:dyDescent="0.4">
      <c r="B21" s="9"/>
      <c r="C21" s="9"/>
      <c r="G21" s="206" t="s">
        <v>192</v>
      </c>
      <c r="H21" s="246" t="s">
        <v>193</v>
      </c>
      <c r="J21" s="242"/>
      <c r="K21" s="244"/>
      <c r="M21" s="152"/>
      <c r="N21" s="153"/>
      <c r="O21" s="153"/>
      <c r="P21" s="153"/>
      <c r="Q21" s="152"/>
      <c r="R21" s="152"/>
      <c r="S21" s="152"/>
    </row>
    <row r="22" spans="1:19" x14ac:dyDescent="0.25">
      <c r="A22" s="7"/>
      <c r="G22" s="247" t="s">
        <v>23</v>
      </c>
      <c r="H22" s="248" t="e">
        <f>B46</f>
        <v>#DIV/0!</v>
      </c>
      <c r="J22" s="242"/>
      <c r="K22" s="245"/>
      <c r="M22" s="152"/>
      <c r="N22" s="152"/>
      <c r="O22" s="152"/>
      <c r="P22" s="152"/>
      <c r="Q22" s="152"/>
      <c r="R22" s="152"/>
      <c r="S22" s="152"/>
    </row>
    <row r="23" spans="1:19" ht="15.75" thickBot="1" x14ac:dyDescent="0.3">
      <c r="A23" s="413" t="s">
        <v>190</v>
      </c>
      <c r="B23" s="413"/>
      <c r="C23" s="413"/>
      <c r="D23" s="413"/>
      <c r="E23" s="413"/>
      <c r="F23" s="414"/>
      <c r="G23" s="249" t="s">
        <v>24</v>
      </c>
      <c r="H23" s="273" t="e">
        <f>B47</f>
        <v>#DIV/0!</v>
      </c>
      <c r="J23" s="242"/>
      <c r="K23" s="245"/>
      <c r="M23" s="152"/>
      <c r="N23" s="153"/>
      <c r="O23" s="153"/>
      <c r="P23" s="154"/>
      <c r="Q23" s="152"/>
      <c r="R23" s="152"/>
      <c r="S23" s="152"/>
    </row>
    <row r="24" spans="1:19" ht="18" x14ac:dyDescent="0.35">
      <c r="B24" s="36" t="s">
        <v>136</v>
      </c>
      <c r="C24" t="s">
        <v>137</v>
      </c>
      <c r="D24" s="36" t="s">
        <v>138</v>
      </c>
      <c r="F24" s="152"/>
      <c r="G24" s="152"/>
      <c r="H24" s="152"/>
      <c r="J24" s="242"/>
      <c r="K24" s="245"/>
      <c r="M24" s="152"/>
      <c r="N24" s="153"/>
      <c r="O24" s="153"/>
      <c r="P24" s="154"/>
      <c r="Q24" s="152"/>
      <c r="R24" s="152"/>
      <c r="S24" s="152"/>
    </row>
    <row r="25" spans="1:19" x14ac:dyDescent="0.25">
      <c r="A25" t="s">
        <v>181</v>
      </c>
      <c r="B25" s="61">
        <f>'1. Emissions CAT'!C60</f>
        <v>0</v>
      </c>
      <c r="C25" s="31" t="e">
        <f>B25/'1. Emissions CAT'!C$59</f>
        <v>#DIV/0!</v>
      </c>
      <c r="D25" s="3" t="e">
        <f>B25/'2. Production regimes (FFB)'!B$8</f>
        <v>#DIV/0!</v>
      </c>
      <c r="E25" s="3"/>
      <c r="F25" s="221"/>
      <c r="G25" s="222"/>
      <c r="H25" s="222"/>
      <c r="J25" s="242"/>
      <c r="K25" s="245"/>
      <c r="M25" s="152"/>
      <c r="N25" s="153"/>
      <c r="O25" s="153"/>
      <c r="P25" s="154"/>
      <c r="Q25" s="152"/>
      <c r="R25" s="152"/>
      <c r="S25" s="152"/>
    </row>
    <row r="26" spans="1:19" x14ac:dyDescent="0.25">
      <c r="A26" t="s">
        <v>186</v>
      </c>
      <c r="B26" s="61">
        <f>0-('8. Sequestration des cultures'!H31*'1. Emissions CAT'!C59)</f>
        <v>0</v>
      </c>
      <c r="C26" s="31" t="e">
        <f>B26/'1. Emissions CAT'!C$59</f>
        <v>#DIV/0!</v>
      </c>
      <c r="D26" s="3" t="e">
        <f>B26/'2. Production regimes (FFB)'!B$8</f>
        <v>#DIV/0!</v>
      </c>
      <c r="E26" s="3"/>
      <c r="F26" s="221"/>
      <c r="G26" s="222"/>
      <c r="H26" s="222"/>
      <c r="M26" s="152"/>
      <c r="N26" s="153"/>
      <c r="O26" s="153"/>
      <c r="P26" s="154"/>
      <c r="Q26" s="152"/>
      <c r="R26" s="152"/>
      <c r="S26" s="152"/>
    </row>
    <row r="27" spans="1:19" x14ac:dyDescent="0.25">
      <c r="A27" t="s">
        <v>182</v>
      </c>
      <c r="B27" s="61">
        <f>'6. Engrais et N2O'!G53+'6. Engrais et N2O'!I53</f>
        <v>0</v>
      </c>
      <c r="C27" s="31" t="e">
        <f>B27/'1. Emissions CAT'!C$59</f>
        <v>#DIV/0!</v>
      </c>
      <c r="D27" s="3" t="e">
        <f>B27/'2. Production regimes (FFB)'!B$8</f>
        <v>#DIV/0!</v>
      </c>
      <c r="E27" s="3"/>
      <c r="F27" s="221"/>
      <c r="G27" s="222"/>
      <c r="H27" s="222"/>
      <c r="M27" s="152"/>
      <c r="N27" s="153"/>
      <c r="O27" s="153"/>
      <c r="P27" s="154"/>
      <c r="Q27" s="152"/>
      <c r="R27" s="152"/>
      <c r="S27" s="152"/>
    </row>
    <row r="28" spans="1:19" x14ac:dyDescent="0.25">
      <c r="A28" t="s">
        <v>9</v>
      </c>
      <c r="B28" s="61">
        <f>'6. Engrais et N2O'!E93</f>
        <v>0</v>
      </c>
      <c r="C28" s="31" t="e">
        <f>B28/'1. Emissions CAT'!C$59</f>
        <v>#DIV/0!</v>
      </c>
      <c r="D28" s="3" t="e">
        <f>B28/'2. Production regimes (FFB)'!B$8</f>
        <v>#DIV/0!</v>
      </c>
      <c r="E28" s="3"/>
      <c r="F28" s="221"/>
      <c r="G28" s="152"/>
      <c r="H28" s="152" t="s">
        <v>75</v>
      </c>
      <c r="M28" s="152"/>
      <c r="N28" s="152"/>
      <c r="O28" s="152"/>
      <c r="P28" s="152"/>
      <c r="Q28" s="152"/>
      <c r="R28" s="152"/>
      <c r="S28" s="152"/>
    </row>
    <row r="29" spans="1:19" x14ac:dyDescent="0.25">
      <c r="A29" t="s">
        <v>183</v>
      </c>
      <c r="B29" s="61">
        <f>'3. Carburant terrain'!C17</f>
        <v>0</v>
      </c>
      <c r="C29" s="31" t="e">
        <f>B29/'1. Emissions CAT'!C$59</f>
        <v>#DIV/0!</v>
      </c>
      <c r="D29" s="3" t="e">
        <f>B29/'2. Production regimes (FFB)'!B$8</f>
        <v>#DIV/0!</v>
      </c>
      <c r="E29" s="3"/>
      <c r="F29" s="221"/>
      <c r="G29" t="str">
        <f>A25</f>
        <v>Défrichement</v>
      </c>
      <c r="H29" s="137">
        <f>B25</f>
        <v>0</v>
      </c>
      <c r="O29" s="152"/>
      <c r="P29" s="152"/>
      <c r="Q29" s="152"/>
      <c r="R29" s="152"/>
    </row>
    <row r="30" spans="1:19" x14ac:dyDescent="0.25">
      <c r="A30" t="s">
        <v>194</v>
      </c>
      <c r="B30" s="61">
        <f>'4. Tourbe'!B18</f>
        <v>0</v>
      </c>
      <c r="C30" s="31" t="e">
        <f>B30/'1. Emissions CAT'!C$59</f>
        <v>#DIV/0!</v>
      </c>
      <c r="D30" s="3" t="e">
        <f>B30/'2. Production regimes (FFB)'!B$8</f>
        <v>#DIV/0!</v>
      </c>
      <c r="E30" s="3"/>
      <c r="F30" s="221"/>
      <c r="G30" t="str">
        <f>A26</f>
        <v>Séquestration de la cuture agricole</v>
      </c>
      <c r="H30" s="137">
        <f>B26</f>
        <v>0</v>
      </c>
    </row>
    <row r="31" spans="1:19" x14ac:dyDescent="0.25">
      <c r="A31" t="s">
        <v>185</v>
      </c>
      <c r="B31" s="61">
        <f>0-'7. Seq.Bloc Conservation'!C8</f>
        <v>0</v>
      </c>
      <c r="C31" s="31" t="e">
        <f>B31/'1. Emissions CAT'!C$59</f>
        <v>#DIV/0!</v>
      </c>
      <c r="D31" s="3" t="e">
        <f>B31/'2. Production regimes (FFB)'!B$8</f>
        <v>#DIV/0!</v>
      </c>
      <c r="E31" s="3"/>
      <c r="F31" s="221"/>
      <c r="G31" t="str">
        <f>A30</f>
        <v xml:space="preserve">Tourbe </v>
      </c>
      <c r="H31" s="137">
        <f>B30</f>
        <v>0</v>
      </c>
    </row>
    <row r="32" spans="1:19" ht="15.75" thickBot="1" x14ac:dyDescent="0.3">
      <c r="A32" s="268" t="s">
        <v>1</v>
      </c>
      <c r="B32" s="238">
        <f>SUM(B25:B31)</f>
        <v>0</v>
      </c>
      <c r="C32" s="238" t="e">
        <f>B32/'1. Emissions CAT'!C59</f>
        <v>#DIV/0!</v>
      </c>
      <c r="D32" s="239" t="e">
        <f>B32/'2. Production regimes (FFB)'!B$8</f>
        <v>#DIV/0!</v>
      </c>
      <c r="E32" s="3"/>
      <c r="F32" s="223"/>
      <c r="G32" t="s">
        <v>187</v>
      </c>
      <c r="H32" s="137">
        <f>B27+B28</f>
        <v>0</v>
      </c>
    </row>
    <row r="33" spans="1:8" ht="15.75" thickTop="1" x14ac:dyDescent="0.25">
      <c r="A33" s="22"/>
      <c r="C33" s="61"/>
      <c r="G33" t="str">
        <f>A31</f>
        <v>Crédit de conservation</v>
      </c>
      <c r="H33" s="137">
        <f>B31</f>
        <v>0</v>
      </c>
    </row>
    <row r="34" spans="1:8" x14ac:dyDescent="0.25">
      <c r="B34" s="30"/>
      <c r="C34" s="61"/>
      <c r="G34" t="str">
        <f>A36</f>
        <v>Effluents</v>
      </c>
      <c r="H34" s="137">
        <f>B36</f>
        <v>0</v>
      </c>
    </row>
    <row r="35" spans="1:8" ht="18" x14ac:dyDescent="0.35">
      <c r="A35" s="7" t="s">
        <v>195</v>
      </c>
      <c r="B35" s="240" t="s">
        <v>139</v>
      </c>
      <c r="C35" s="36" t="s">
        <v>137</v>
      </c>
      <c r="D35" s="36" t="s">
        <v>140</v>
      </c>
      <c r="G35" t="s">
        <v>202</v>
      </c>
      <c r="H35" s="137">
        <f>B29+B37</f>
        <v>0</v>
      </c>
    </row>
    <row r="36" spans="1:8" x14ac:dyDescent="0.25">
      <c r="A36" t="s">
        <v>196</v>
      </c>
      <c r="B36" s="61">
        <f>'9. Donnees usine'!B61</f>
        <v>0</v>
      </c>
      <c r="C36" s="31" t="e">
        <f>B36/'1. Emissions CAT'!C$59</f>
        <v>#DIV/0!</v>
      </c>
      <c r="D36" s="31" t="e">
        <f>B36/'9. Donnees usine'!B$6</f>
        <v>#DIV/0!</v>
      </c>
      <c r="G36" t="str">
        <f>A38</f>
        <v xml:space="preserve"> Achats d'électricité </v>
      </c>
      <c r="H36" s="137">
        <f>B38</f>
        <v>0</v>
      </c>
    </row>
    <row r="37" spans="1:8" x14ac:dyDescent="0.25">
      <c r="A37" t="s">
        <v>197</v>
      </c>
      <c r="B37" s="61">
        <f>'9. Donnees usine'!B23</f>
        <v>0</v>
      </c>
      <c r="C37" s="31" t="e">
        <f>B37/'1. Emissions CAT'!C$59</f>
        <v>#DIV/0!</v>
      </c>
      <c r="D37" s="31" t="e">
        <f>B37/'9. Donnees usine'!B$6</f>
        <v>#DIV/0!</v>
      </c>
      <c r="G37" t="s">
        <v>201</v>
      </c>
      <c r="H37" s="137">
        <f>SUM(B39:B40)</f>
        <v>0</v>
      </c>
    </row>
    <row r="38" spans="1:8" x14ac:dyDescent="0.25">
      <c r="A38" s="152" t="s">
        <v>198</v>
      </c>
      <c r="B38" s="61">
        <f>'9. Donnees usine'!B67</f>
        <v>0</v>
      </c>
      <c r="C38" s="31" t="e">
        <f>B38/'1. Emissions CAT'!C$59</f>
        <v>#DIV/0!</v>
      </c>
      <c r="D38" s="31" t="e">
        <f>B38/'9. Donnees usine'!B$6</f>
        <v>#DIV/0!</v>
      </c>
    </row>
    <row r="39" spans="1:8" x14ac:dyDescent="0.25">
      <c r="A39" s="152" t="s">
        <v>199</v>
      </c>
      <c r="B39" s="61">
        <f>0-'9. Donnees usine'!B68</f>
        <v>0</v>
      </c>
      <c r="C39" s="31" t="e">
        <f>B39/'1. Emissions CAT'!C$59</f>
        <v>#DIV/0!</v>
      </c>
      <c r="D39" s="31" t="e">
        <f>B39/'9. Donnees usine'!B$6</f>
        <v>#DIV/0!</v>
      </c>
    </row>
    <row r="40" spans="1:8" x14ac:dyDescent="0.25">
      <c r="A40" s="152" t="s">
        <v>200</v>
      </c>
      <c r="B40" s="61">
        <f>0-('9. Donnees usine'!B73+'9. Donnees usine'!B81)</f>
        <v>0</v>
      </c>
      <c r="C40" s="31" t="e">
        <f>B40/'1. Emissions CAT'!C$59</f>
        <v>#DIV/0!</v>
      </c>
      <c r="D40" s="31" t="e">
        <f>B40/'9. Donnees usine'!B$6</f>
        <v>#DIV/0!</v>
      </c>
    </row>
    <row r="41" spans="1:8" ht="15.75" thickBot="1" x14ac:dyDescent="0.3">
      <c r="A41" s="268" t="s">
        <v>141</v>
      </c>
      <c r="B41" s="238">
        <f>SUM(B36:B40)</f>
        <v>0</v>
      </c>
      <c r="C41" s="238" t="e">
        <f>B41/'1. Emissions CAT'!C$59</f>
        <v>#DIV/0!</v>
      </c>
      <c r="D41" s="238" t="e">
        <f>B41/'9. Donnees usine'!B$6</f>
        <v>#DIV/0!</v>
      </c>
      <c r="E41" s="145"/>
    </row>
    <row r="42" spans="1:8" ht="15.75" thickTop="1" x14ac:dyDescent="0.25">
      <c r="C42" s="61"/>
    </row>
    <row r="43" spans="1:8" ht="33" x14ac:dyDescent="0.25">
      <c r="A43" s="269" t="s">
        <v>203</v>
      </c>
      <c r="B43" s="30">
        <f>B32+B41</f>
        <v>0</v>
      </c>
      <c r="C43" s="61"/>
      <c r="D43" s="31"/>
    </row>
    <row r="44" spans="1:8" x14ac:dyDescent="0.25">
      <c r="A44" s="60"/>
    </row>
    <row r="45" spans="1:8" x14ac:dyDescent="0.25">
      <c r="A45" s="269" t="s">
        <v>73</v>
      </c>
      <c r="C45" s="31"/>
    </row>
    <row r="46" spans="1:8" ht="18" x14ac:dyDescent="0.35">
      <c r="A46" t="s">
        <v>142</v>
      </c>
      <c r="B46" s="31" t="e">
        <f>B43*'Alloc. emissions prod. cultures'!B9/100/'9. Donnees usine'!B9</f>
        <v>#DIV/0!</v>
      </c>
      <c r="C46" s="31"/>
    </row>
    <row r="47" spans="1:8" ht="18" x14ac:dyDescent="0.35">
      <c r="A47" t="s">
        <v>143</v>
      </c>
      <c r="B47" s="31" t="e">
        <f>B43*'Alloc. emissions prod. cultures'!B10/100/'9. Donnees usine'!B10</f>
        <v>#DIV/0!</v>
      </c>
    </row>
    <row r="49" spans="1:21" x14ac:dyDescent="0.25">
      <c r="A49" s="7"/>
      <c r="B49" s="30"/>
      <c r="C49" s="30"/>
    </row>
    <row r="50" spans="1:21" x14ac:dyDescent="0.25">
      <c r="A50" s="60"/>
      <c r="B50" s="1"/>
      <c r="C50" s="1"/>
    </row>
    <row r="51" spans="1:21" x14ac:dyDescent="0.25">
      <c r="B51" s="31"/>
      <c r="C51" s="31"/>
    </row>
    <row r="52" spans="1:21" x14ac:dyDescent="0.25">
      <c r="B52" s="31"/>
      <c r="C52" s="31"/>
    </row>
    <row r="59" spans="1:21" x14ac:dyDescent="0.25">
      <c r="U59" s="137"/>
    </row>
    <row r="60" spans="1:21" x14ac:dyDescent="0.25">
      <c r="U60" s="137"/>
    </row>
    <row r="61" spans="1:21" x14ac:dyDescent="0.25">
      <c r="U61" s="137"/>
    </row>
    <row r="63" spans="1:21" x14ac:dyDescent="0.25">
      <c r="G63" s="311" t="str">
        <f>A25</f>
        <v>Défrichement</v>
      </c>
      <c r="H63" s="61">
        <f>B25</f>
        <v>0</v>
      </c>
    </row>
    <row r="64" spans="1:21" x14ac:dyDescent="0.25">
      <c r="G64" s="311" t="str">
        <f>A26</f>
        <v>Séquestration de la cuture agricole</v>
      </c>
      <c r="H64" s="61">
        <f>B26</f>
        <v>0</v>
      </c>
    </row>
    <row r="65" spans="7:8" x14ac:dyDescent="0.25">
      <c r="G65" s="311" t="s">
        <v>161</v>
      </c>
      <c r="H65" s="61">
        <f>B27+B28</f>
        <v>0</v>
      </c>
    </row>
    <row r="66" spans="7:8" x14ac:dyDescent="0.25">
      <c r="G66" s="311" t="str">
        <f t="shared" ref="G66:H68" si="1">A29</f>
        <v>Carburant consommé sur le terrain</v>
      </c>
      <c r="H66" s="61">
        <f t="shared" si="1"/>
        <v>0</v>
      </c>
    </row>
    <row r="67" spans="7:8" x14ac:dyDescent="0.25">
      <c r="G67" s="311" t="str">
        <f t="shared" si="1"/>
        <v xml:space="preserve">Tourbe </v>
      </c>
      <c r="H67" s="61">
        <f t="shared" si="1"/>
        <v>0</v>
      </c>
    </row>
    <row r="68" spans="7:8" x14ac:dyDescent="0.25">
      <c r="G68" s="311" t="str">
        <f t="shared" si="1"/>
        <v>Crédit de conservation</v>
      </c>
      <c r="H68" s="61">
        <f t="shared" si="1"/>
        <v>0</v>
      </c>
    </row>
  </sheetData>
  <customSheetViews>
    <customSheetView guid="{E65377FD-65C5-4E48-ADBC-1C49981F2400}">
      <selection activeCell="K15" sqref="K15"/>
      <pageMargins left="0.7" right="0.7" top="0.75" bottom="0.75" header="0.3" footer="0.3"/>
      <pageSetup paperSize="9" orientation="portrait" r:id="rId1"/>
    </customSheetView>
  </customSheetViews>
  <mergeCells count="1">
    <mergeCell ref="A23:F23"/>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63"/>
  <sheetViews>
    <sheetView showGridLines="0" topLeftCell="A46" workbookViewId="0">
      <selection activeCell="A63" sqref="A63"/>
    </sheetView>
  </sheetViews>
  <sheetFormatPr defaultColWidth="8.85546875" defaultRowHeight="15" x14ac:dyDescent="0.25"/>
  <cols>
    <col min="1" max="1" width="43.85546875" customWidth="1"/>
    <col min="2" max="2" width="17.42578125" customWidth="1"/>
    <col min="3" max="3" width="14.28515625" customWidth="1"/>
    <col min="4" max="4" width="14.42578125" customWidth="1"/>
    <col min="5" max="5" width="15.42578125" customWidth="1"/>
    <col min="6" max="6" width="19.42578125" customWidth="1"/>
    <col min="7" max="7" width="24.85546875" customWidth="1"/>
  </cols>
  <sheetData>
    <row r="1" spans="1:7" ht="37.5" customHeight="1" x14ac:dyDescent="0.5">
      <c r="A1" s="369" t="s">
        <v>204</v>
      </c>
    </row>
    <row r="2" spans="1:7" x14ac:dyDescent="0.25">
      <c r="A2" s="7"/>
    </row>
    <row r="3" spans="1:7" ht="69.75" customHeight="1" x14ac:dyDescent="0.25">
      <c r="A3" s="415" t="s">
        <v>205</v>
      </c>
      <c r="B3" s="416"/>
      <c r="C3" s="416"/>
      <c r="D3" s="416"/>
      <c r="E3" s="416"/>
      <c r="F3" s="416"/>
      <c r="G3" s="417"/>
    </row>
    <row r="4" spans="1:7" ht="15.75" thickBot="1" x14ac:dyDescent="0.3"/>
    <row r="5" spans="1:7" ht="18.75" thickBot="1" x14ac:dyDescent="0.4">
      <c r="A5" s="252" t="s">
        <v>206</v>
      </c>
      <c r="B5" s="253" t="s">
        <v>121</v>
      </c>
      <c r="C5" s="254" t="s">
        <v>133</v>
      </c>
      <c r="G5" s="309"/>
    </row>
    <row r="6" spans="1:7" x14ac:dyDescent="0.25">
      <c r="A6" s="201" t="s">
        <v>219</v>
      </c>
      <c r="B6" s="205">
        <f>'Donnees par defaut'!G19</f>
        <v>268</v>
      </c>
      <c r="C6" s="202">
        <f>'Donnees par defaut'!H19</f>
        <v>982.66666666666663</v>
      </c>
      <c r="G6" s="309"/>
    </row>
    <row r="7" spans="1:7" x14ac:dyDescent="0.25">
      <c r="A7" s="201" t="s">
        <v>220</v>
      </c>
      <c r="B7" s="205">
        <f>'Donnees par defaut'!G20</f>
        <v>128</v>
      </c>
      <c r="C7" s="202">
        <f>'Donnees par defaut'!H20</f>
        <v>469.33333333333331</v>
      </c>
      <c r="G7" s="309"/>
    </row>
    <row r="8" spans="1:7" x14ac:dyDescent="0.25">
      <c r="A8" s="201" t="s">
        <v>207</v>
      </c>
      <c r="B8" s="205">
        <f>'Donnees par defaut'!G21</f>
        <v>46</v>
      </c>
      <c r="C8" s="202">
        <f>'Donnees par defaut'!H21</f>
        <v>168.66666666666666</v>
      </c>
      <c r="G8" s="309"/>
    </row>
    <row r="9" spans="1:7" x14ac:dyDescent="0.25">
      <c r="A9" s="201" t="s">
        <v>208</v>
      </c>
      <c r="B9" s="205">
        <f>'Donnees par defaut'!G22</f>
        <v>5</v>
      </c>
      <c r="C9" s="202">
        <f>'Donnees par defaut'!H22</f>
        <v>18.333333333333332</v>
      </c>
      <c r="G9" s="309"/>
    </row>
    <row r="10" spans="1:7" x14ac:dyDescent="0.25">
      <c r="A10" s="201" t="s">
        <v>209</v>
      </c>
      <c r="B10" s="205">
        <f>'Donnees par defaut'!G23</f>
        <v>75</v>
      </c>
      <c r="C10" s="202">
        <f>'Donnees par defaut'!H23</f>
        <v>275</v>
      </c>
      <c r="G10" s="309"/>
    </row>
    <row r="11" spans="1:7" x14ac:dyDescent="0.25">
      <c r="A11" s="201" t="s">
        <v>210</v>
      </c>
      <c r="B11" s="205">
        <f>'Donnees par defaut'!G24</f>
        <v>8.5</v>
      </c>
      <c r="C11" s="202">
        <f>'Donnees par defaut'!H24</f>
        <v>31.166666666666668</v>
      </c>
      <c r="G11" s="309"/>
    </row>
    <row r="12" spans="1:7" x14ac:dyDescent="0.25">
      <c r="A12" s="293" t="s">
        <v>211</v>
      </c>
      <c r="B12" s="290">
        <f>'8. Sequestration des cultures'!F31*0.5</f>
        <v>63.83</v>
      </c>
      <c r="C12" s="291">
        <f>B12*44/12</f>
        <v>234.04333333333332</v>
      </c>
      <c r="G12" s="309"/>
    </row>
    <row r="13" spans="1:7" x14ac:dyDescent="0.25">
      <c r="A13" s="293" t="s">
        <v>212</v>
      </c>
      <c r="B13" s="292">
        <f>'8. Sequestration des cultures'!O31*0.5</f>
        <v>59.284999999999997</v>
      </c>
      <c r="C13" s="291">
        <f t="shared" ref="C13:C21" si="0">B13*44/12</f>
        <v>217.37833333333333</v>
      </c>
      <c r="G13" s="309"/>
    </row>
    <row r="14" spans="1:7" x14ac:dyDescent="0.25">
      <c r="A14" s="203" t="s">
        <v>217</v>
      </c>
      <c r="B14" s="312"/>
      <c r="C14" s="289">
        <f t="shared" si="0"/>
        <v>0</v>
      </c>
      <c r="G14" s="309"/>
    </row>
    <row r="15" spans="1:7" x14ac:dyDescent="0.25">
      <c r="A15" s="203" t="s">
        <v>216</v>
      </c>
      <c r="B15" s="312"/>
      <c r="C15" s="289">
        <f t="shared" si="0"/>
        <v>0</v>
      </c>
      <c r="G15" s="309"/>
    </row>
    <row r="16" spans="1:7" x14ac:dyDescent="0.25">
      <c r="A16" s="203" t="s">
        <v>213</v>
      </c>
      <c r="B16" s="312"/>
      <c r="C16" s="289">
        <f t="shared" si="0"/>
        <v>0</v>
      </c>
    </row>
    <row r="17" spans="1:7" x14ac:dyDescent="0.25">
      <c r="A17" s="203" t="s">
        <v>153</v>
      </c>
      <c r="B17" s="312"/>
      <c r="C17" s="289">
        <f t="shared" si="0"/>
        <v>0</v>
      </c>
    </row>
    <row r="18" spans="1:7" x14ac:dyDescent="0.25">
      <c r="A18" s="203" t="s">
        <v>214</v>
      </c>
      <c r="B18" s="312"/>
      <c r="C18" s="289">
        <f t="shared" si="0"/>
        <v>0</v>
      </c>
    </row>
    <row r="19" spans="1:7" x14ac:dyDescent="0.25">
      <c r="A19" s="203" t="s">
        <v>154</v>
      </c>
      <c r="B19" s="312"/>
      <c r="C19" s="289">
        <f t="shared" si="0"/>
        <v>0</v>
      </c>
    </row>
    <row r="20" spans="1:7" x14ac:dyDescent="0.25">
      <c r="A20" s="203" t="s">
        <v>215</v>
      </c>
      <c r="B20" s="312"/>
      <c r="C20" s="289">
        <f t="shared" si="0"/>
        <v>0</v>
      </c>
    </row>
    <row r="21" spans="1:7" ht="15.75" thickBot="1" x14ac:dyDescent="0.3">
      <c r="A21" s="204" t="s">
        <v>218</v>
      </c>
      <c r="B21" s="312"/>
      <c r="C21" s="401">
        <f t="shared" si="0"/>
        <v>0</v>
      </c>
    </row>
    <row r="23" spans="1:7" ht="30" x14ac:dyDescent="0.25">
      <c r="A23" s="277" t="s">
        <v>221</v>
      </c>
      <c r="B23" s="274">
        <v>5.5</v>
      </c>
    </row>
    <row r="25" spans="1:7" x14ac:dyDescent="0.25">
      <c r="A25" s="7" t="s">
        <v>222</v>
      </c>
    </row>
    <row r="26" spans="1:7" ht="49.5" x14ac:dyDescent="0.35">
      <c r="A26" s="288" t="s">
        <v>223</v>
      </c>
      <c r="B26" s="286" t="s">
        <v>224</v>
      </c>
      <c r="C26" s="287" t="s">
        <v>225</v>
      </c>
      <c r="D26" s="286" t="s">
        <v>133</v>
      </c>
      <c r="E26" s="286" t="s">
        <v>134</v>
      </c>
      <c r="F26" s="287" t="s">
        <v>226</v>
      </c>
      <c r="G26" s="287" t="s">
        <v>227</v>
      </c>
    </row>
    <row r="27" spans="1:7" x14ac:dyDescent="0.25">
      <c r="A27" s="282"/>
      <c r="B27" s="274"/>
      <c r="C27" s="285">
        <f>B27/(1+$B$23/100)</f>
        <v>0</v>
      </c>
      <c r="D27" s="274"/>
      <c r="E27" s="256">
        <f>B27*D27</f>
        <v>0</v>
      </c>
      <c r="F27" s="256">
        <f>E27/25</f>
        <v>0</v>
      </c>
      <c r="G27" s="256">
        <f>F27+(($B$23/100)*F27)</f>
        <v>0</v>
      </c>
    </row>
    <row r="28" spans="1:7" x14ac:dyDescent="0.25">
      <c r="A28" s="282"/>
      <c r="B28" s="274"/>
      <c r="C28" s="285">
        <f t="shared" ref="C28:C38" si="1">B28/(1+$B$23/100)</f>
        <v>0</v>
      </c>
      <c r="D28" s="312"/>
      <c r="E28" s="256">
        <f>B28*D28</f>
        <v>0</v>
      </c>
      <c r="F28" s="256">
        <f>E28/25</f>
        <v>0</v>
      </c>
      <c r="G28" s="256">
        <f t="shared" ref="G28:G38" si="2">F28+(($B$23/100)*F28)</f>
        <v>0</v>
      </c>
    </row>
    <row r="29" spans="1:7" x14ac:dyDescent="0.25">
      <c r="A29" s="282"/>
      <c r="B29" s="274"/>
      <c r="C29" s="285">
        <f t="shared" si="1"/>
        <v>0</v>
      </c>
      <c r="D29" s="312"/>
      <c r="E29" s="256">
        <f t="shared" ref="E29:E38" si="3">B29*D29</f>
        <v>0</v>
      </c>
      <c r="F29" s="256">
        <f t="shared" ref="F29:F37" si="4">E29/25</f>
        <v>0</v>
      </c>
      <c r="G29" s="256">
        <f t="shared" si="2"/>
        <v>0</v>
      </c>
    </row>
    <row r="30" spans="1:7" x14ac:dyDescent="0.25">
      <c r="A30" s="282"/>
      <c r="B30" s="274"/>
      <c r="C30" s="285">
        <f t="shared" si="1"/>
        <v>0</v>
      </c>
      <c r="D30" s="312"/>
      <c r="E30" s="256">
        <f t="shared" si="3"/>
        <v>0</v>
      </c>
      <c r="F30" s="256">
        <f t="shared" si="4"/>
        <v>0</v>
      </c>
      <c r="G30" s="256">
        <f t="shared" si="2"/>
        <v>0</v>
      </c>
    </row>
    <row r="31" spans="1:7" x14ac:dyDescent="0.25">
      <c r="A31" s="282"/>
      <c r="B31" s="274"/>
      <c r="C31" s="285">
        <f>B31/(1+$B$23/100)</f>
        <v>0</v>
      </c>
      <c r="D31" s="312"/>
      <c r="E31" s="256">
        <f t="shared" si="3"/>
        <v>0</v>
      </c>
      <c r="F31" s="256">
        <f t="shared" si="4"/>
        <v>0</v>
      </c>
      <c r="G31" s="256">
        <f t="shared" si="2"/>
        <v>0</v>
      </c>
    </row>
    <row r="32" spans="1:7" x14ac:dyDescent="0.25">
      <c r="A32" s="282"/>
      <c r="B32" s="274"/>
      <c r="C32" s="285">
        <f>B32/(1+$B$23/100)</f>
        <v>0</v>
      </c>
      <c r="D32" s="274"/>
      <c r="E32" s="256">
        <f t="shared" si="3"/>
        <v>0</v>
      </c>
      <c r="F32" s="256">
        <f t="shared" si="4"/>
        <v>0</v>
      </c>
      <c r="G32" s="256">
        <f t="shared" si="2"/>
        <v>0</v>
      </c>
    </row>
    <row r="33" spans="1:7" x14ac:dyDescent="0.25">
      <c r="A33" s="282"/>
      <c r="B33" s="274"/>
      <c r="C33" s="285">
        <f t="shared" si="1"/>
        <v>0</v>
      </c>
      <c r="D33" s="274"/>
      <c r="E33" s="256">
        <f t="shared" si="3"/>
        <v>0</v>
      </c>
      <c r="F33" s="256">
        <f t="shared" si="4"/>
        <v>0</v>
      </c>
      <c r="G33" s="256">
        <f t="shared" si="2"/>
        <v>0</v>
      </c>
    </row>
    <row r="34" spans="1:7" x14ac:dyDescent="0.25">
      <c r="A34" s="282"/>
      <c r="B34" s="274"/>
      <c r="C34" s="285">
        <f t="shared" si="1"/>
        <v>0</v>
      </c>
      <c r="D34" s="274"/>
      <c r="E34" s="256">
        <f t="shared" si="3"/>
        <v>0</v>
      </c>
      <c r="F34" s="256">
        <f t="shared" si="4"/>
        <v>0</v>
      </c>
      <c r="G34" s="256">
        <f t="shared" si="2"/>
        <v>0</v>
      </c>
    </row>
    <row r="35" spans="1:7" x14ac:dyDescent="0.25">
      <c r="A35" s="282"/>
      <c r="B35" s="274"/>
      <c r="C35" s="285">
        <f t="shared" si="1"/>
        <v>0</v>
      </c>
      <c r="D35" s="274"/>
      <c r="E35" s="256">
        <f t="shared" si="3"/>
        <v>0</v>
      </c>
      <c r="F35" s="256">
        <f t="shared" si="4"/>
        <v>0</v>
      </c>
      <c r="G35" s="256">
        <f t="shared" si="2"/>
        <v>0</v>
      </c>
    </row>
    <row r="36" spans="1:7" x14ac:dyDescent="0.25">
      <c r="A36" s="282"/>
      <c r="B36" s="274"/>
      <c r="C36" s="285">
        <f t="shared" si="1"/>
        <v>0</v>
      </c>
      <c r="D36" s="274"/>
      <c r="E36" s="256">
        <f t="shared" si="3"/>
        <v>0</v>
      </c>
      <c r="F36" s="256">
        <f>E36/25</f>
        <v>0</v>
      </c>
      <c r="G36" s="256">
        <f t="shared" si="2"/>
        <v>0</v>
      </c>
    </row>
    <row r="37" spans="1:7" x14ac:dyDescent="0.25">
      <c r="A37" s="282"/>
      <c r="B37" s="274"/>
      <c r="C37" s="285">
        <f t="shared" si="1"/>
        <v>0</v>
      </c>
      <c r="D37" s="274"/>
      <c r="E37" s="256">
        <f t="shared" si="3"/>
        <v>0</v>
      </c>
      <c r="F37" s="256">
        <f t="shared" si="4"/>
        <v>0</v>
      </c>
      <c r="G37" s="256">
        <f t="shared" si="2"/>
        <v>0</v>
      </c>
    </row>
    <row r="38" spans="1:7" x14ac:dyDescent="0.25">
      <c r="A38" s="282"/>
      <c r="B38" s="274"/>
      <c r="C38" s="285">
        <f t="shared" si="1"/>
        <v>0</v>
      </c>
      <c r="D38" s="274"/>
      <c r="E38" s="256">
        <f t="shared" si="3"/>
        <v>0</v>
      </c>
      <c r="F38" s="256">
        <f>E38/25</f>
        <v>0</v>
      </c>
      <c r="G38" s="256">
        <f t="shared" si="2"/>
        <v>0</v>
      </c>
    </row>
    <row r="39" spans="1:7" x14ac:dyDescent="0.25">
      <c r="A39" s="264" t="s">
        <v>1</v>
      </c>
      <c r="B39" s="191"/>
      <c r="C39" s="256">
        <f>SUM(C27:C38)</f>
        <v>0</v>
      </c>
      <c r="D39" s="191"/>
      <c r="E39" s="256">
        <f>SUM(E27:E38)</f>
        <v>0</v>
      </c>
      <c r="F39" s="256">
        <f>SUM(F27:F38)</f>
        <v>0</v>
      </c>
      <c r="G39" s="256">
        <f>SUM(G27:G38)</f>
        <v>0</v>
      </c>
    </row>
    <row r="42" spans="1:7" x14ac:dyDescent="0.25">
      <c r="A42" s="7" t="s">
        <v>230</v>
      </c>
    </row>
    <row r="43" spans="1:7" ht="49.5" x14ac:dyDescent="0.35">
      <c r="A43" s="255" t="s">
        <v>229</v>
      </c>
      <c r="B43" s="286" t="s">
        <v>224</v>
      </c>
      <c r="C43" s="287" t="s">
        <v>225</v>
      </c>
      <c r="D43" s="286" t="s">
        <v>133</v>
      </c>
      <c r="E43" s="286" t="s">
        <v>134</v>
      </c>
      <c r="F43" s="287" t="s">
        <v>226</v>
      </c>
      <c r="G43" s="287" t="s">
        <v>228</v>
      </c>
    </row>
    <row r="44" spans="1:7" x14ac:dyDescent="0.25">
      <c r="A44" s="195"/>
      <c r="B44" s="274"/>
      <c r="C44" s="285">
        <f>B44/(1+$B$23/100)</f>
        <v>0</v>
      </c>
      <c r="D44" s="312"/>
      <c r="E44" s="256">
        <f>B44*D44</f>
        <v>0</v>
      </c>
      <c r="F44" s="256">
        <f>E44/25</f>
        <v>0</v>
      </c>
      <c r="G44" s="256">
        <f>F44+(($B$23/100)*F44)</f>
        <v>0</v>
      </c>
    </row>
    <row r="45" spans="1:7" x14ac:dyDescent="0.25">
      <c r="A45" s="195"/>
      <c r="B45" s="274"/>
      <c r="C45" s="285">
        <f t="shared" ref="C45:C55" si="5">B45/(1+$B$23/100)</f>
        <v>0</v>
      </c>
      <c r="D45" s="274"/>
      <c r="E45" s="256">
        <f t="shared" ref="E45:E55" si="6">B45*D45</f>
        <v>0</v>
      </c>
      <c r="F45" s="256">
        <f t="shared" ref="F45:F55" si="7">E45/25</f>
        <v>0</v>
      </c>
      <c r="G45" s="256">
        <f t="shared" ref="G45:G55" si="8">F45+(($B$23/100)*F45)</f>
        <v>0</v>
      </c>
    </row>
    <row r="46" spans="1:7" x14ac:dyDescent="0.25">
      <c r="A46" s="195"/>
      <c r="B46" s="274"/>
      <c r="C46" s="285">
        <f t="shared" si="5"/>
        <v>0</v>
      </c>
      <c r="D46" s="274"/>
      <c r="E46" s="256">
        <f>B46*D46</f>
        <v>0</v>
      </c>
      <c r="F46" s="256">
        <f t="shared" si="7"/>
        <v>0</v>
      </c>
      <c r="G46" s="256">
        <f t="shared" si="8"/>
        <v>0</v>
      </c>
    </row>
    <row r="47" spans="1:7" x14ac:dyDescent="0.25">
      <c r="A47" s="195"/>
      <c r="B47" s="274"/>
      <c r="C47" s="285">
        <f>B47/(1+$B$23/100)</f>
        <v>0</v>
      </c>
      <c r="D47" s="274"/>
      <c r="E47" s="256">
        <f>B47*D47</f>
        <v>0</v>
      </c>
      <c r="F47" s="256">
        <f t="shared" si="7"/>
        <v>0</v>
      </c>
      <c r="G47" s="256">
        <f t="shared" si="8"/>
        <v>0</v>
      </c>
    </row>
    <row r="48" spans="1:7" x14ac:dyDescent="0.25">
      <c r="A48" s="195"/>
      <c r="B48" s="274"/>
      <c r="C48" s="285">
        <f t="shared" si="5"/>
        <v>0</v>
      </c>
      <c r="D48" s="274"/>
      <c r="E48" s="256">
        <f t="shared" si="6"/>
        <v>0</v>
      </c>
      <c r="F48" s="256">
        <f>E48/25</f>
        <v>0</v>
      </c>
      <c r="G48" s="256">
        <f t="shared" si="8"/>
        <v>0</v>
      </c>
    </row>
    <row r="49" spans="1:7" x14ac:dyDescent="0.25">
      <c r="A49" s="195"/>
      <c r="B49" s="274"/>
      <c r="C49" s="285">
        <f t="shared" si="5"/>
        <v>0</v>
      </c>
      <c r="D49" s="274"/>
      <c r="E49" s="256">
        <f t="shared" si="6"/>
        <v>0</v>
      </c>
      <c r="F49" s="256">
        <f t="shared" si="7"/>
        <v>0</v>
      </c>
      <c r="G49" s="256">
        <f t="shared" si="8"/>
        <v>0</v>
      </c>
    </row>
    <row r="50" spans="1:7" x14ac:dyDescent="0.25">
      <c r="A50" s="195"/>
      <c r="B50" s="274"/>
      <c r="C50" s="285">
        <f t="shared" si="5"/>
        <v>0</v>
      </c>
      <c r="D50" s="274"/>
      <c r="E50" s="256">
        <f t="shared" si="6"/>
        <v>0</v>
      </c>
      <c r="F50" s="256">
        <f t="shared" si="7"/>
        <v>0</v>
      </c>
      <c r="G50" s="256">
        <f t="shared" si="8"/>
        <v>0</v>
      </c>
    </row>
    <row r="51" spans="1:7" x14ac:dyDescent="0.25">
      <c r="A51" s="195"/>
      <c r="B51" s="274"/>
      <c r="C51" s="285">
        <f t="shared" si="5"/>
        <v>0</v>
      </c>
      <c r="D51" s="274"/>
      <c r="E51" s="256">
        <f t="shared" si="6"/>
        <v>0</v>
      </c>
      <c r="F51" s="256">
        <f t="shared" si="7"/>
        <v>0</v>
      </c>
      <c r="G51" s="256">
        <f t="shared" si="8"/>
        <v>0</v>
      </c>
    </row>
    <row r="52" spans="1:7" x14ac:dyDescent="0.25">
      <c r="A52" s="195"/>
      <c r="B52" s="274"/>
      <c r="C52" s="285">
        <f t="shared" si="5"/>
        <v>0</v>
      </c>
      <c r="D52" s="274"/>
      <c r="E52" s="256">
        <f t="shared" si="6"/>
        <v>0</v>
      </c>
      <c r="F52" s="256">
        <f t="shared" si="7"/>
        <v>0</v>
      </c>
      <c r="G52" s="256">
        <f t="shared" si="8"/>
        <v>0</v>
      </c>
    </row>
    <row r="53" spans="1:7" x14ac:dyDescent="0.25">
      <c r="A53" s="195"/>
      <c r="B53" s="274"/>
      <c r="C53" s="285">
        <f t="shared" si="5"/>
        <v>0</v>
      </c>
      <c r="D53" s="274"/>
      <c r="E53" s="256">
        <f t="shared" si="6"/>
        <v>0</v>
      </c>
      <c r="F53" s="256">
        <f t="shared" si="7"/>
        <v>0</v>
      </c>
      <c r="G53" s="256">
        <f t="shared" si="8"/>
        <v>0</v>
      </c>
    </row>
    <row r="54" spans="1:7" x14ac:dyDescent="0.25">
      <c r="A54" s="195"/>
      <c r="B54" s="274"/>
      <c r="C54" s="285">
        <f t="shared" si="5"/>
        <v>0</v>
      </c>
      <c r="D54" s="274"/>
      <c r="E54" s="256">
        <f t="shared" si="6"/>
        <v>0</v>
      </c>
      <c r="F54" s="256">
        <f t="shared" si="7"/>
        <v>0</v>
      </c>
      <c r="G54" s="256">
        <f t="shared" si="8"/>
        <v>0</v>
      </c>
    </row>
    <row r="55" spans="1:7" x14ac:dyDescent="0.25">
      <c r="A55" s="195"/>
      <c r="B55" s="274"/>
      <c r="C55" s="285">
        <f t="shared" si="5"/>
        <v>0</v>
      </c>
      <c r="D55" s="274"/>
      <c r="E55" s="256">
        <f t="shared" si="6"/>
        <v>0</v>
      </c>
      <c r="F55" s="256">
        <f t="shared" si="7"/>
        <v>0</v>
      </c>
      <c r="G55" s="256">
        <f t="shared" si="8"/>
        <v>0</v>
      </c>
    </row>
    <row r="56" spans="1:7" x14ac:dyDescent="0.25">
      <c r="A56" s="265" t="s">
        <v>1</v>
      </c>
      <c r="B56" s="256">
        <f>SUM(B44:B55)</f>
        <v>0</v>
      </c>
      <c r="C56" s="256">
        <f>SUM(C44:C55)</f>
        <v>0</v>
      </c>
      <c r="D56" s="191"/>
      <c r="E56" s="256">
        <f>SUM(E44:E55)</f>
        <v>0</v>
      </c>
      <c r="F56" s="256">
        <f>SUM(F44:F55)</f>
        <v>0</v>
      </c>
      <c r="G56" s="256">
        <f>SUM(G44:G55)</f>
        <v>0</v>
      </c>
    </row>
    <row r="59" spans="1:7" x14ac:dyDescent="0.25">
      <c r="A59" t="s">
        <v>231</v>
      </c>
      <c r="C59" s="3">
        <f>SUM(C39+C56)</f>
        <v>0</v>
      </c>
    </row>
    <row r="60" spans="1:7" ht="18" x14ac:dyDescent="0.35">
      <c r="A60" t="s">
        <v>232</v>
      </c>
      <c r="C60" s="3">
        <f>SUM(G39+G56)</f>
        <v>0</v>
      </c>
    </row>
    <row r="63" spans="1:7" x14ac:dyDescent="0.25">
      <c r="A63" s="471" t="s">
        <v>521</v>
      </c>
    </row>
  </sheetData>
  <mergeCells count="1">
    <mergeCell ref="A3:G3"/>
  </mergeCells>
  <dataValidations count="2">
    <dataValidation type="list" showInputMessage="1" showErrorMessage="1" sqref="A44:A55 A27:A38">
      <formula1>LandUse</formula1>
    </dataValidation>
    <dataValidation showInputMessage="1" showErrorMessage="1" sqref="C27:C39 B44:C55"/>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1"/>
  <sheetViews>
    <sheetView showGridLines="0" workbookViewId="0">
      <selection activeCell="A11" sqref="A11"/>
    </sheetView>
  </sheetViews>
  <sheetFormatPr defaultColWidth="9.140625" defaultRowHeight="15" x14ac:dyDescent="0.25"/>
  <cols>
    <col min="1" max="1" width="37.7109375" style="62" customWidth="1"/>
    <col min="2" max="2" width="9.42578125" style="62" customWidth="1"/>
    <col min="3" max="3" width="9.85546875" style="62" customWidth="1"/>
    <col min="4" max="4" width="21.7109375" style="62" bestFit="1" customWidth="1"/>
    <col min="5" max="5" width="10.140625" style="62" customWidth="1"/>
    <col min="6" max="6" width="9.140625" style="62"/>
    <col min="7" max="7" width="20.28515625" style="62" customWidth="1"/>
    <col min="8" max="8" width="10.140625" style="62" customWidth="1"/>
    <col min="9" max="9" width="7.7109375" style="62" customWidth="1"/>
    <col min="10" max="10" width="19.42578125" style="62" customWidth="1"/>
    <col min="11" max="11" width="12.140625" style="62" customWidth="1"/>
    <col min="12" max="16384" width="9.140625" style="62"/>
  </cols>
  <sheetData>
    <row r="1" spans="1:7" ht="33.75" x14ac:dyDescent="0.5">
      <c r="A1" s="376" t="s">
        <v>233</v>
      </c>
    </row>
    <row r="2" spans="1:7" x14ac:dyDescent="0.25">
      <c r="A2" s="70"/>
    </row>
    <row r="3" spans="1:7" ht="79.5" customHeight="1" x14ac:dyDescent="0.25">
      <c r="A3" s="418" t="s">
        <v>234</v>
      </c>
      <c r="B3" s="419"/>
      <c r="C3" s="420"/>
      <c r="D3" s="420"/>
      <c r="E3" s="420"/>
      <c r="F3" s="420"/>
      <c r="G3" s="421"/>
    </row>
    <row r="4" spans="1:7" x14ac:dyDescent="0.25">
      <c r="A4" s="71"/>
    </row>
    <row r="5" spans="1:7" x14ac:dyDescent="0.25">
      <c r="A5" s="70" t="s">
        <v>235</v>
      </c>
    </row>
    <row r="6" spans="1:7" ht="28.5" customHeight="1" x14ac:dyDescent="0.25">
      <c r="A6" s="374" t="s">
        <v>237</v>
      </c>
      <c r="B6" s="400"/>
    </row>
    <row r="7" spans="1:7" ht="28.5" customHeight="1" x14ac:dyDescent="0.25">
      <c r="A7" s="374" t="s">
        <v>236</v>
      </c>
      <c r="B7" s="375">
        <f>'1. Emissions CAT'!C59</f>
        <v>0</v>
      </c>
    </row>
    <row r="8" spans="1:7" ht="28.5" customHeight="1" x14ac:dyDescent="0.25">
      <c r="A8" s="374" t="s">
        <v>238</v>
      </c>
      <c r="B8" s="375">
        <f>B6*B7</f>
        <v>0</v>
      </c>
    </row>
    <row r="9" spans="1:7" x14ac:dyDescent="0.25">
      <c r="B9" s="67"/>
    </row>
    <row r="10" spans="1:7" x14ac:dyDescent="0.25">
      <c r="A10" s="116"/>
      <c r="B10" s="68"/>
    </row>
    <row r="11" spans="1:7" x14ac:dyDescent="0.25">
      <c r="A11" s="471" t="s">
        <v>521</v>
      </c>
    </row>
  </sheetData>
  <sheetProtection insertRows="0"/>
  <mergeCells count="1">
    <mergeCell ref="A3:G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sheetPr>
  <dimension ref="A1:L35"/>
  <sheetViews>
    <sheetView showGridLines="0" topLeftCell="A10" workbookViewId="0">
      <selection activeCell="A33" sqref="A33"/>
    </sheetView>
  </sheetViews>
  <sheetFormatPr defaultColWidth="9.140625" defaultRowHeight="15" x14ac:dyDescent="0.25"/>
  <cols>
    <col min="1" max="1" width="4.28515625" style="62" customWidth="1"/>
    <col min="2" max="2" width="24.7109375" style="62" customWidth="1"/>
    <col min="3" max="3" width="9.28515625" style="62" customWidth="1"/>
    <col min="4" max="4" width="8" style="62" customWidth="1"/>
    <col min="5" max="5" width="27.85546875" style="62" customWidth="1"/>
    <col min="6" max="6" width="9.28515625" style="62" customWidth="1"/>
    <col min="7" max="7" width="8" style="62" customWidth="1"/>
    <col min="8" max="8" width="26" style="62" bestFit="1" customWidth="1"/>
    <col min="9" max="9" width="10.140625" style="62" customWidth="1"/>
    <col min="10" max="10" width="8" style="62" customWidth="1"/>
    <col min="11" max="11" width="26.42578125" style="62" customWidth="1"/>
    <col min="12" max="17" width="9.140625" style="62"/>
    <col min="18" max="18" width="10.42578125" style="62" customWidth="1"/>
    <col min="19" max="19" width="12.7109375" style="62" customWidth="1"/>
    <col min="20" max="20" width="12.140625" style="62" customWidth="1"/>
    <col min="21" max="16384" width="9.140625" style="62"/>
  </cols>
  <sheetData>
    <row r="1" spans="1:12" ht="33.75" x14ac:dyDescent="0.5">
      <c r="A1" s="376" t="s">
        <v>239</v>
      </c>
      <c r="B1" s="70"/>
    </row>
    <row r="2" spans="1:12" ht="6" customHeight="1" x14ac:dyDescent="0.25">
      <c r="B2" s="70"/>
    </row>
    <row r="3" spans="1:12" ht="69.75" customHeight="1" x14ac:dyDescent="0.25">
      <c r="A3" s="422" t="s">
        <v>240</v>
      </c>
      <c r="B3" s="422"/>
      <c r="C3" s="422"/>
      <c r="D3" s="422"/>
      <c r="E3" s="422"/>
      <c r="F3" s="422"/>
      <c r="G3" s="422"/>
      <c r="H3" s="422"/>
      <c r="I3" s="422"/>
      <c r="J3" s="422"/>
      <c r="K3" s="422"/>
      <c r="L3" s="422"/>
    </row>
    <row r="4" spans="1:12" ht="12.75" customHeight="1" thickBot="1" x14ac:dyDescent="0.3">
      <c r="B4" s="71"/>
    </row>
    <row r="5" spans="1:12" x14ac:dyDescent="0.25">
      <c r="A5" s="214"/>
      <c r="B5" s="391"/>
      <c r="C5" s="377"/>
      <c r="D5" s="377"/>
      <c r="E5" s="377"/>
      <c r="F5" s="377"/>
      <c r="G5" s="378"/>
    </row>
    <row r="6" spans="1:12" ht="18" customHeight="1" x14ac:dyDescent="0.25">
      <c r="A6" s="214"/>
      <c r="B6" s="392" t="s">
        <v>241</v>
      </c>
      <c r="C6" s="214"/>
      <c r="D6" s="214"/>
      <c r="E6" s="214"/>
      <c r="F6" s="214"/>
      <c r="G6" s="379"/>
      <c r="H6" s="84"/>
      <c r="I6" s="84"/>
      <c r="J6" s="84"/>
      <c r="K6" s="84"/>
    </row>
    <row r="7" spans="1:12" ht="18" x14ac:dyDescent="0.35">
      <c r="A7" s="214"/>
      <c r="B7" s="393" t="s">
        <v>69</v>
      </c>
      <c r="C7" s="75">
        <f>'Donnees par defaut'!$B7</f>
        <v>3.12</v>
      </c>
      <c r="D7" s="214"/>
      <c r="E7" s="74" t="s">
        <v>122</v>
      </c>
      <c r="F7" s="399">
        <v>0</v>
      </c>
      <c r="G7" s="380"/>
      <c r="H7" s="78"/>
      <c r="I7" s="78"/>
      <c r="J7" s="78"/>
      <c r="K7" s="87"/>
    </row>
    <row r="8" spans="1:12" ht="18" x14ac:dyDescent="0.35">
      <c r="A8" s="214"/>
      <c r="B8" s="393" t="s">
        <v>243</v>
      </c>
      <c r="C8" s="381">
        <f>'Donnees par defaut'!B8</f>
        <v>2.75</v>
      </c>
      <c r="D8" s="214"/>
      <c r="E8" s="74" t="s">
        <v>123</v>
      </c>
      <c r="F8" s="399">
        <v>0</v>
      </c>
      <c r="G8" s="382"/>
    </row>
    <row r="9" spans="1:12" ht="15.75" thickBot="1" x14ac:dyDescent="0.3">
      <c r="A9" s="214"/>
      <c r="B9" s="394"/>
      <c r="C9" s="384"/>
      <c r="D9" s="385"/>
      <c r="E9" s="383"/>
      <c r="F9" s="386"/>
      <c r="G9" s="387"/>
    </row>
    <row r="10" spans="1:12" x14ac:dyDescent="0.25">
      <c r="B10" s="74"/>
      <c r="C10" s="63"/>
      <c r="E10" s="74"/>
      <c r="F10" s="76"/>
    </row>
    <row r="11" spans="1:12" x14ac:dyDescent="0.25">
      <c r="B11" s="197" t="s">
        <v>242</v>
      </c>
      <c r="C11" s="63"/>
    </row>
    <row r="12" spans="1:12" x14ac:dyDescent="0.25">
      <c r="B12" s="423" t="s">
        <v>89</v>
      </c>
      <c r="C12" s="423"/>
      <c r="E12" s="423" t="s">
        <v>90</v>
      </c>
      <c r="F12" s="423"/>
      <c r="H12" s="423" t="s">
        <v>124</v>
      </c>
      <c r="I12" s="423"/>
      <c r="K12" s="423" t="s">
        <v>125</v>
      </c>
      <c r="L12" s="423"/>
    </row>
    <row r="13" spans="1:12" ht="18.75" customHeight="1" x14ac:dyDescent="0.25">
      <c r="B13" s="388" t="s">
        <v>244</v>
      </c>
      <c r="C13" s="397"/>
      <c r="D13" s="389"/>
      <c r="E13" s="388" t="s">
        <v>244</v>
      </c>
      <c r="F13" s="397"/>
      <c r="G13" s="389"/>
      <c r="H13" s="388" t="s">
        <v>244</v>
      </c>
      <c r="I13" s="398"/>
      <c r="J13" s="389"/>
      <c r="K13" s="388" t="s">
        <v>244</v>
      </c>
      <c r="L13" s="397"/>
    </row>
    <row r="14" spans="1:12" ht="18.75" customHeight="1" x14ac:dyDescent="0.25">
      <c r="B14" s="389" t="s">
        <v>245</v>
      </c>
      <c r="C14" s="390">
        <f>C13*'1. Emissions CAT'!C59</f>
        <v>0</v>
      </c>
      <c r="D14" s="389"/>
      <c r="E14" s="389" t="s">
        <v>245</v>
      </c>
      <c r="F14" s="390">
        <f>F13*'1. Emissions CAT'!C59</f>
        <v>0</v>
      </c>
      <c r="G14" s="389"/>
      <c r="H14" s="389" t="s">
        <v>245</v>
      </c>
      <c r="I14" s="390">
        <f>I13*'1. Emissions CAT'!C59</f>
        <v>0</v>
      </c>
      <c r="J14" s="389"/>
      <c r="K14" s="389" t="s">
        <v>245</v>
      </c>
      <c r="L14" s="390">
        <f>L13*'1. Emissions CAT'!C59</f>
        <v>0</v>
      </c>
    </row>
    <row r="15" spans="1:12" x14ac:dyDescent="0.25">
      <c r="B15" s="98"/>
      <c r="C15" s="95"/>
    </row>
    <row r="16" spans="1:12" x14ac:dyDescent="0.25">
      <c r="B16" s="113" t="s">
        <v>246</v>
      </c>
      <c r="C16" s="97"/>
    </row>
    <row r="17" spans="2:6" ht="18" x14ac:dyDescent="0.35">
      <c r="B17" s="89" t="s">
        <v>74</v>
      </c>
      <c r="C17" s="134">
        <f>(C14*C7+F14*C8+I14*F7+L14*F8)/1000</f>
        <v>0</v>
      </c>
    </row>
    <row r="18" spans="2:6" x14ac:dyDescent="0.25">
      <c r="B18" s="89"/>
      <c r="C18" s="94"/>
    </row>
    <row r="19" spans="2:6" hidden="1" x14ac:dyDescent="0.25">
      <c r="B19" s="148" t="s">
        <v>95</v>
      </c>
      <c r="C19" s="150"/>
      <c r="D19" s="148"/>
      <c r="E19" s="148" t="s">
        <v>90</v>
      </c>
      <c r="F19" s="148"/>
    </row>
    <row r="20" spans="2:6" hidden="1" x14ac:dyDescent="0.25">
      <c r="B20" s="161" t="s">
        <v>60</v>
      </c>
      <c r="C20" s="156" t="e">
        <f>#REF!</f>
        <v>#REF!</v>
      </c>
      <c r="D20" s="148"/>
      <c r="E20" s="148" t="str">
        <f t="shared" ref="E20:F24" si="0">B20</f>
        <v>Outgrower fuel consumption l/yr</v>
      </c>
      <c r="F20" s="156" t="e">
        <f t="shared" si="0"/>
        <v>#REF!</v>
      </c>
    </row>
    <row r="21" spans="2:6" hidden="1" x14ac:dyDescent="0.25">
      <c r="B21" s="168" t="e">
        <f>#REF!</f>
        <v>#REF!</v>
      </c>
      <c r="C21" s="165"/>
      <c r="D21" s="148"/>
      <c r="E21" s="155" t="e">
        <f t="shared" si="0"/>
        <v>#REF!</v>
      </c>
      <c r="F21" s="167"/>
    </row>
    <row r="22" spans="2:6" hidden="1" x14ac:dyDescent="0.25">
      <c r="B22" s="168" t="e">
        <f>#REF!</f>
        <v>#REF!</v>
      </c>
      <c r="C22" s="165"/>
      <c r="D22" s="148"/>
      <c r="E22" s="155" t="e">
        <f t="shared" si="0"/>
        <v>#REF!</v>
      </c>
      <c r="F22" s="167"/>
    </row>
    <row r="23" spans="2:6" hidden="1" x14ac:dyDescent="0.25">
      <c r="B23" s="168" t="e">
        <f>#REF!</f>
        <v>#REF!</v>
      </c>
      <c r="C23" s="165"/>
      <c r="D23" s="148"/>
      <c r="E23" s="155" t="e">
        <f t="shared" si="0"/>
        <v>#REF!</v>
      </c>
      <c r="F23" s="167"/>
    </row>
    <row r="24" spans="2:6" hidden="1" x14ac:dyDescent="0.25">
      <c r="B24" s="168" t="e">
        <f>#REF!</f>
        <v>#REF!</v>
      </c>
      <c r="C24" s="165"/>
      <c r="D24" s="148"/>
      <c r="E24" s="155" t="e">
        <f t="shared" si="0"/>
        <v>#REF!</v>
      </c>
      <c r="F24" s="167"/>
    </row>
    <row r="25" spans="2:6" hidden="1" x14ac:dyDescent="0.25">
      <c r="B25" s="168"/>
      <c r="C25" s="172"/>
      <c r="D25" s="148"/>
      <c r="E25" s="148"/>
      <c r="F25" s="148"/>
    </row>
    <row r="26" spans="2:6" hidden="1" x14ac:dyDescent="0.25">
      <c r="B26" s="173" t="s">
        <v>96</v>
      </c>
      <c r="C26" s="174" t="s">
        <v>93</v>
      </c>
      <c r="D26" s="157" t="s">
        <v>94</v>
      </c>
      <c r="E26" s="148"/>
      <c r="F26" s="148"/>
    </row>
    <row r="27" spans="2:6" s="76" customFormat="1" hidden="1" x14ac:dyDescent="0.25">
      <c r="B27" s="151" t="s">
        <v>91</v>
      </c>
      <c r="C27" s="159">
        <f>SUM(C21:C24)</f>
        <v>0</v>
      </c>
      <c r="D27" s="150" t="e">
        <f>C27/#REF!</f>
        <v>#REF!</v>
      </c>
      <c r="E27" s="148"/>
      <c r="F27" s="148"/>
    </row>
    <row r="28" spans="2:6" hidden="1" x14ac:dyDescent="0.25">
      <c r="B28" s="151" t="s">
        <v>92</v>
      </c>
      <c r="C28" s="149">
        <f>SUM(F21:F24)</f>
        <v>0</v>
      </c>
      <c r="D28" s="150" t="e">
        <f>C28/#REF!</f>
        <v>#REF!</v>
      </c>
      <c r="E28" s="148"/>
      <c r="F28" s="148"/>
    </row>
    <row r="29" spans="2:6" hidden="1" x14ac:dyDescent="0.25">
      <c r="B29" s="151"/>
      <c r="C29" s="149"/>
      <c r="D29" s="148"/>
      <c r="E29" s="148"/>
      <c r="F29" s="148"/>
    </row>
    <row r="30" spans="2:6" ht="18" hidden="1" x14ac:dyDescent="0.35">
      <c r="B30" s="151" t="s">
        <v>49</v>
      </c>
      <c r="C30" s="150" t="e">
        <f>(D27*C7+D28*C8)/1000</f>
        <v>#REF!</v>
      </c>
      <c r="D30" s="148"/>
      <c r="E30" s="148"/>
      <c r="F30" s="148"/>
    </row>
    <row r="31" spans="2:6" ht="18" hidden="1" x14ac:dyDescent="0.35">
      <c r="B31" s="151" t="s">
        <v>74</v>
      </c>
      <c r="C31" s="166">
        <f>(C27*$C7+C28*C8)/1000</f>
        <v>0</v>
      </c>
      <c r="D31" s="148"/>
      <c r="E31" s="148"/>
      <c r="F31" s="148"/>
    </row>
    <row r="33" spans="1:6" x14ac:dyDescent="0.25">
      <c r="A33" s="471" t="s">
        <v>521</v>
      </c>
      <c r="E33" s="76"/>
      <c r="F33" s="76"/>
    </row>
    <row r="34" spans="1:6" x14ac:dyDescent="0.25">
      <c r="F34" s="142"/>
    </row>
    <row r="35" spans="1:6" x14ac:dyDescent="0.25">
      <c r="F35" s="64"/>
    </row>
  </sheetData>
  <sheetProtection formatCells="0" formatColumns="0" formatRows="0" insertColumns="0" insertRows="0"/>
  <customSheetViews>
    <customSheetView guid="{E65377FD-65C5-4E48-ADBC-1C49981F2400}" topLeftCell="A10">
      <selection activeCell="D17" sqref="D17"/>
      <pageMargins left="0.7" right="0.7" top="0.75" bottom="0.75" header="0.3" footer="0.3"/>
      <pageSetup orientation="portrait" r:id="rId1"/>
    </customSheetView>
  </customSheetViews>
  <mergeCells count="5">
    <mergeCell ref="A3:L3"/>
    <mergeCell ref="B12:C12"/>
    <mergeCell ref="E12:F12"/>
    <mergeCell ref="H12:I12"/>
    <mergeCell ref="K12:L12"/>
  </mergeCells>
  <pageMargins left="0.7" right="0.7" top="0.75" bottom="0.75" header="0.3" footer="0.3"/>
  <pageSetup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G33"/>
  <sheetViews>
    <sheetView showGridLines="0" topLeftCell="A13" workbookViewId="0">
      <selection activeCell="A33" sqref="A33"/>
    </sheetView>
  </sheetViews>
  <sheetFormatPr defaultColWidth="9.140625" defaultRowHeight="15" x14ac:dyDescent="0.25"/>
  <cols>
    <col min="1" max="1" width="69.85546875" style="62" customWidth="1"/>
    <col min="2" max="2" width="7.42578125" style="62" bestFit="1" customWidth="1"/>
    <col min="3" max="3" width="5" style="62" bestFit="1" customWidth="1"/>
    <col min="4" max="4" width="5.42578125" style="62" bestFit="1" customWidth="1"/>
    <col min="5" max="5" width="4.7109375" style="62" customWidth="1"/>
    <col min="6" max="6" width="5.42578125" style="62" customWidth="1"/>
    <col min="7" max="7" width="8.42578125" style="62" bestFit="1" customWidth="1"/>
    <col min="8" max="8" width="4.85546875" style="62" customWidth="1"/>
    <col min="9" max="9" width="5" style="62" customWidth="1"/>
    <col min="10" max="10" width="4.85546875" style="62" customWidth="1"/>
    <col min="11" max="11" width="5.28515625" style="62" customWidth="1"/>
    <col min="12" max="12" width="5.140625" style="62" customWidth="1"/>
    <col min="13" max="13" width="5.42578125" style="62" customWidth="1"/>
    <col min="14" max="14" width="5.140625" style="62" customWidth="1"/>
    <col min="15" max="15" width="5" style="62" customWidth="1"/>
    <col min="16" max="16" width="5.42578125" style="62" customWidth="1"/>
    <col min="17" max="17" width="6" style="62" customWidth="1"/>
    <col min="18" max="18" width="5.85546875" style="62" customWidth="1"/>
    <col min="19" max="19" width="5" style="62" customWidth="1"/>
    <col min="20" max="20" width="6.140625" style="62" customWidth="1"/>
    <col min="21" max="21" width="5.42578125" style="62" customWidth="1"/>
    <col min="22" max="22" width="5.140625" style="62" customWidth="1"/>
    <col min="23" max="23" width="5" style="62" customWidth="1"/>
    <col min="24" max="26" width="5.42578125" style="62" customWidth="1"/>
    <col min="27" max="27" width="6.28515625" style="62" customWidth="1"/>
    <col min="28" max="28" width="6" style="62" customWidth="1"/>
    <col min="29" max="29" width="6.140625" style="62" customWidth="1"/>
    <col min="30" max="30" width="5.7109375" style="62" customWidth="1"/>
    <col min="31" max="31" width="5.42578125" style="62" customWidth="1"/>
    <col min="32" max="32" width="10.140625" style="62" customWidth="1"/>
    <col min="33" max="33" width="8" style="62" customWidth="1"/>
    <col min="34" max="16384" width="9.140625" style="62"/>
  </cols>
  <sheetData>
    <row r="1" spans="1:30" ht="41.25" customHeight="1" x14ac:dyDescent="0.5">
      <c r="A1" s="376" t="s">
        <v>247</v>
      </c>
    </row>
    <row r="2" spans="1:30" ht="39" customHeight="1" x14ac:dyDescent="0.25">
      <c r="A2" s="424" t="s">
        <v>248</v>
      </c>
      <c r="B2" s="425"/>
      <c r="C2" s="425"/>
      <c r="D2" s="425"/>
      <c r="E2" s="425"/>
      <c r="F2" s="425"/>
      <c r="G2" s="425"/>
      <c r="H2" s="425"/>
      <c r="I2" s="425"/>
      <c r="J2" s="425"/>
      <c r="K2" s="425"/>
      <c r="L2" s="425"/>
      <c r="M2" s="425"/>
      <c r="N2" s="425"/>
      <c r="O2" s="425"/>
      <c r="P2" s="425"/>
      <c r="Q2" s="425"/>
      <c r="R2" s="425"/>
      <c r="S2" s="425"/>
      <c r="T2" s="425"/>
      <c r="U2" s="425"/>
      <c r="V2" s="426"/>
      <c r="W2" s="35"/>
      <c r="X2" s="99"/>
      <c r="Y2" s="99"/>
      <c r="Z2" s="99"/>
      <c r="AA2" s="99"/>
      <c r="AB2" s="99"/>
      <c r="AC2" s="99"/>
      <c r="AD2" s="99"/>
    </row>
    <row r="3" spans="1:30" ht="21" customHeight="1" x14ac:dyDescent="0.25">
      <c r="A3" s="427"/>
      <c r="B3" s="428"/>
      <c r="C3" s="428"/>
      <c r="D3" s="428"/>
      <c r="E3" s="428"/>
      <c r="F3" s="428"/>
      <c r="G3" s="428"/>
      <c r="H3" s="428"/>
      <c r="I3" s="428"/>
      <c r="J3" s="428"/>
      <c r="K3" s="428"/>
      <c r="L3" s="428"/>
      <c r="M3" s="428"/>
      <c r="N3" s="428"/>
      <c r="O3" s="428"/>
      <c r="P3" s="428"/>
      <c r="Q3" s="428"/>
      <c r="R3" s="428"/>
      <c r="S3" s="428"/>
      <c r="T3" s="428"/>
      <c r="U3" s="428"/>
      <c r="V3" s="429"/>
      <c r="W3" s="35"/>
      <c r="X3" s="99"/>
      <c r="Y3" s="99"/>
      <c r="Z3" s="99"/>
      <c r="AA3" s="99"/>
      <c r="AB3" s="99"/>
      <c r="AC3" s="99"/>
      <c r="AD3" s="99"/>
    </row>
    <row r="4" spans="1:30" x14ac:dyDescent="0.25">
      <c r="A4" s="77"/>
    </row>
    <row r="5" spans="1:30" x14ac:dyDescent="0.25">
      <c r="A5" s="77" t="s">
        <v>249</v>
      </c>
      <c r="R5" s="63"/>
      <c r="S5" s="63"/>
      <c r="T5" s="63"/>
      <c r="U5" s="63"/>
    </row>
    <row r="6" spans="1:30" x14ac:dyDescent="0.25">
      <c r="A6" s="71" t="s">
        <v>251</v>
      </c>
      <c r="R6" s="63"/>
      <c r="S6" s="63"/>
      <c r="T6" s="63"/>
      <c r="U6" s="63"/>
    </row>
    <row r="7" spans="1:30" x14ac:dyDescent="0.25">
      <c r="A7" s="71"/>
      <c r="R7" s="63"/>
      <c r="S7" s="63"/>
      <c r="T7" s="63"/>
      <c r="U7" s="63"/>
    </row>
    <row r="8" spans="1:30" x14ac:dyDescent="0.25">
      <c r="R8" s="63"/>
      <c r="S8" s="63"/>
      <c r="T8" s="63"/>
      <c r="U8" s="63"/>
    </row>
    <row r="9" spans="1:30" x14ac:dyDescent="0.25">
      <c r="A9" s="100" t="s">
        <v>250</v>
      </c>
      <c r="R9" s="63"/>
      <c r="S9" s="63"/>
      <c r="T9" s="63"/>
      <c r="U9" s="63"/>
    </row>
    <row r="10" spans="1:30" ht="30" x14ac:dyDescent="0.25">
      <c r="A10" s="101" t="s">
        <v>253</v>
      </c>
      <c r="B10" s="396"/>
      <c r="R10" s="63"/>
      <c r="S10" s="63"/>
      <c r="T10" s="63"/>
      <c r="U10" s="63"/>
    </row>
    <row r="11" spans="1:30" x14ac:dyDescent="0.25">
      <c r="A11" s="101" t="s">
        <v>254</v>
      </c>
      <c r="B11" s="207">
        <f>IF(B10="N","100",)</f>
        <v>0</v>
      </c>
      <c r="R11" s="63"/>
      <c r="S11" s="63"/>
      <c r="T11" s="63"/>
      <c r="U11" s="63"/>
    </row>
    <row r="12" spans="1:30" x14ac:dyDescent="0.25">
      <c r="A12" s="101" t="s">
        <v>255</v>
      </c>
      <c r="B12" s="208">
        <f>IF(B10="P","75",)</f>
        <v>0</v>
      </c>
      <c r="R12" s="63"/>
      <c r="S12" s="63"/>
      <c r="T12" s="63"/>
      <c r="U12" s="63"/>
    </row>
    <row r="13" spans="1:30" ht="15" customHeight="1" x14ac:dyDescent="0.25">
      <c r="A13" s="101" t="s">
        <v>256</v>
      </c>
      <c r="B13" s="208">
        <f>IF(B10="Y","60",)</f>
        <v>0</v>
      </c>
      <c r="R13" s="63"/>
      <c r="S13" s="63"/>
      <c r="T13" s="63"/>
      <c r="U13" s="63"/>
    </row>
    <row r="14" spans="1:30" ht="15" customHeight="1" x14ac:dyDescent="0.35">
      <c r="A14" s="101" t="s">
        <v>257</v>
      </c>
      <c r="B14" s="192">
        <f>B11*0.91</f>
        <v>0</v>
      </c>
      <c r="R14" s="63"/>
      <c r="S14" s="63"/>
      <c r="T14" s="63"/>
      <c r="U14" s="63"/>
    </row>
    <row r="15" spans="1:30" ht="15" customHeight="1" x14ac:dyDescent="0.25">
      <c r="A15" s="101" t="s">
        <v>258</v>
      </c>
      <c r="B15" s="194">
        <f>B12*0.91</f>
        <v>0</v>
      </c>
      <c r="R15" s="63"/>
      <c r="S15" s="63"/>
      <c r="T15" s="63"/>
      <c r="U15" s="63"/>
    </row>
    <row r="16" spans="1:30" ht="30" x14ac:dyDescent="0.25">
      <c r="A16" s="101" t="s">
        <v>259</v>
      </c>
      <c r="B16" s="193">
        <f>B13*0.91</f>
        <v>0</v>
      </c>
      <c r="R16" s="63"/>
      <c r="S16" s="63"/>
      <c r="T16" s="63"/>
      <c r="U16" s="63"/>
    </row>
    <row r="17" spans="1:33" x14ac:dyDescent="0.25">
      <c r="A17" s="101"/>
      <c r="B17" s="189"/>
      <c r="C17" s="102"/>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row>
    <row r="18" spans="1:33" ht="18" x14ac:dyDescent="0.35">
      <c r="A18" s="113" t="s">
        <v>252</v>
      </c>
      <c r="B18" s="105">
        <f>(B14*'1. Emissions CAT'!B56)+(B15*'1. Emissions CAT'!B56)+(B16*'1. Emissions CAT'!B56)</f>
        <v>0</v>
      </c>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row>
    <row r="19" spans="1:33" x14ac:dyDescent="0.25">
      <c r="A19" s="103"/>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row>
    <row r="20" spans="1:33" x14ac:dyDescent="0.25">
      <c r="A20" s="76"/>
      <c r="B20" s="108"/>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row>
    <row r="21" spans="1:33" x14ac:dyDescent="0.25">
      <c r="A21" s="89"/>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row>
    <row r="22" spans="1:33" x14ac:dyDescent="0.25">
      <c r="A22" s="76"/>
      <c r="B22" s="108"/>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76"/>
      <c r="AG22" s="76"/>
    </row>
    <row r="23" spans="1:33" x14ac:dyDescent="0.25">
      <c r="A23" s="76"/>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10"/>
      <c r="AG23" s="76"/>
    </row>
    <row r="24" spans="1:33" x14ac:dyDescent="0.25">
      <c r="A24" s="104"/>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11"/>
      <c r="AG24" s="93"/>
    </row>
    <row r="25" spans="1:33"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92"/>
      <c r="AB25" s="76"/>
      <c r="AC25" s="76"/>
      <c r="AD25" s="76"/>
      <c r="AE25" s="76"/>
      <c r="AF25" s="111"/>
      <c r="AG25" s="76"/>
    </row>
    <row r="26" spans="1:33" hidden="1" x14ac:dyDescent="0.25">
      <c r="A26" s="176" t="s">
        <v>29</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57"/>
      <c r="AB26" s="148"/>
      <c r="AC26" s="148"/>
      <c r="AD26" s="148"/>
      <c r="AE26" s="148"/>
      <c r="AF26" s="148"/>
      <c r="AG26" s="148"/>
    </row>
    <row r="27" spans="1:33" hidden="1" x14ac:dyDescent="0.25">
      <c r="A27" s="148" t="s">
        <v>0</v>
      </c>
      <c r="B27" s="156" t="e">
        <f>#REF!</f>
        <v>#REF!</v>
      </c>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57"/>
      <c r="AB27" s="148"/>
      <c r="AC27" s="148"/>
      <c r="AD27" s="148"/>
      <c r="AE27" s="148"/>
      <c r="AF27" s="148"/>
      <c r="AG27" s="148"/>
    </row>
    <row r="28" spans="1:33" hidden="1" x14ac:dyDescent="0.25">
      <c r="A28" s="151" t="s">
        <v>48</v>
      </c>
      <c r="B28" s="148">
        <v>1</v>
      </c>
      <c r="C28" s="148">
        <f t="shared" ref="C28:AB28" si="0">B28+1</f>
        <v>2</v>
      </c>
      <c r="D28" s="148">
        <f t="shared" si="0"/>
        <v>3</v>
      </c>
      <c r="E28" s="148">
        <f t="shared" si="0"/>
        <v>4</v>
      </c>
      <c r="F28" s="148">
        <f t="shared" si="0"/>
        <v>5</v>
      </c>
      <c r="G28" s="148">
        <f t="shared" si="0"/>
        <v>6</v>
      </c>
      <c r="H28" s="148">
        <f t="shared" si="0"/>
        <v>7</v>
      </c>
      <c r="I28" s="148">
        <f t="shared" si="0"/>
        <v>8</v>
      </c>
      <c r="J28" s="148">
        <f t="shared" si="0"/>
        <v>9</v>
      </c>
      <c r="K28" s="148">
        <f t="shared" si="0"/>
        <v>10</v>
      </c>
      <c r="L28" s="148">
        <f t="shared" si="0"/>
        <v>11</v>
      </c>
      <c r="M28" s="148">
        <f t="shared" si="0"/>
        <v>12</v>
      </c>
      <c r="N28" s="148">
        <f t="shared" si="0"/>
        <v>13</v>
      </c>
      <c r="O28" s="148">
        <f t="shared" si="0"/>
        <v>14</v>
      </c>
      <c r="P28" s="148">
        <f t="shared" si="0"/>
        <v>15</v>
      </c>
      <c r="Q28" s="148">
        <f t="shared" si="0"/>
        <v>16</v>
      </c>
      <c r="R28" s="148">
        <f t="shared" si="0"/>
        <v>17</v>
      </c>
      <c r="S28" s="148">
        <f t="shared" si="0"/>
        <v>18</v>
      </c>
      <c r="T28" s="148">
        <f t="shared" si="0"/>
        <v>19</v>
      </c>
      <c r="U28" s="148">
        <f t="shared" si="0"/>
        <v>20</v>
      </c>
      <c r="V28" s="148">
        <f t="shared" si="0"/>
        <v>21</v>
      </c>
      <c r="W28" s="148">
        <f t="shared" si="0"/>
        <v>22</v>
      </c>
      <c r="X28" s="148">
        <f t="shared" si="0"/>
        <v>23</v>
      </c>
      <c r="Y28" s="148">
        <f t="shared" si="0"/>
        <v>24</v>
      </c>
      <c r="Z28" s="148">
        <f t="shared" si="0"/>
        <v>25</v>
      </c>
      <c r="AA28" s="148">
        <f t="shared" si="0"/>
        <v>26</v>
      </c>
      <c r="AB28" s="148">
        <f t="shared" si="0"/>
        <v>27</v>
      </c>
      <c r="AC28" s="148">
        <f>AB28+1</f>
        <v>28</v>
      </c>
      <c r="AD28" s="148">
        <f>AC28+1</f>
        <v>29</v>
      </c>
      <c r="AE28" s="148">
        <f>AD28+1</f>
        <v>30</v>
      </c>
      <c r="AF28" s="148"/>
      <c r="AG28" s="148"/>
    </row>
    <row r="29" spans="1:33" hidden="1" x14ac:dyDescent="0.25">
      <c r="A29" s="148" t="s">
        <v>32</v>
      </c>
      <c r="B29" s="156" t="e">
        <f>#REF!</f>
        <v>#REF!</v>
      </c>
      <c r="C29" s="158" t="e">
        <f>B29-1</f>
        <v>#REF!</v>
      </c>
      <c r="D29" s="158" t="e">
        <f t="shared" ref="D29:AE29" si="1">C29-1</f>
        <v>#REF!</v>
      </c>
      <c r="E29" s="158" t="e">
        <f t="shared" si="1"/>
        <v>#REF!</v>
      </c>
      <c r="F29" s="158" t="e">
        <f t="shared" si="1"/>
        <v>#REF!</v>
      </c>
      <c r="G29" s="158" t="e">
        <f t="shared" si="1"/>
        <v>#REF!</v>
      </c>
      <c r="H29" s="158" t="e">
        <f t="shared" si="1"/>
        <v>#REF!</v>
      </c>
      <c r="I29" s="158" t="e">
        <f t="shared" si="1"/>
        <v>#REF!</v>
      </c>
      <c r="J29" s="158" t="e">
        <f t="shared" si="1"/>
        <v>#REF!</v>
      </c>
      <c r="K29" s="158" t="e">
        <f t="shared" si="1"/>
        <v>#REF!</v>
      </c>
      <c r="L29" s="158" t="e">
        <f t="shared" si="1"/>
        <v>#REF!</v>
      </c>
      <c r="M29" s="158" t="e">
        <f t="shared" si="1"/>
        <v>#REF!</v>
      </c>
      <c r="N29" s="158" t="e">
        <f t="shared" si="1"/>
        <v>#REF!</v>
      </c>
      <c r="O29" s="158" t="e">
        <f t="shared" si="1"/>
        <v>#REF!</v>
      </c>
      <c r="P29" s="158" t="e">
        <f t="shared" si="1"/>
        <v>#REF!</v>
      </c>
      <c r="Q29" s="158" t="e">
        <f t="shared" si="1"/>
        <v>#REF!</v>
      </c>
      <c r="R29" s="158" t="e">
        <f t="shared" si="1"/>
        <v>#REF!</v>
      </c>
      <c r="S29" s="158" t="e">
        <f t="shared" si="1"/>
        <v>#REF!</v>
      </c>
      <c r="T29" s="158" t="e">
        <f t="shared" si="1"/>
        <v>#REF!</v>
      </c>
      <c r="U29" s="158" t="e">
        <f t="shared" si="1"/>
        <v>#REF!</v>
      </c>
      <c r="V29" s="158" t="e">
        <f t="shared" si="1"/>
        <v>#REF!</v>
      </c>
      <c r="W29" s="158" t="e">
        <f t="shared" si="1"/>
        <v>#REF!</v>
      </c>
      <c r="X29" s="158" t="e">
        <f t="shared" si="1"/>
        <v>#REF!</v>
      </c>
      <c r="Y29" s="158" t="e">
        <f t="shared" si="1"/>
        <v>#REF!</v>
      </c>
      <c r="Z29" s="158" t="e">
        <f t="shared" si="1"/>
        <v>#REF!</v>
      </c>
      <c r="AA29" s="158" t="e">
        <f t="shared" si="1"/>
        <v>#REF!</v>
      </c>
      <c r="AB29" s="158" t="e">
        <f t="shared" si="1"/>
        <v>#REF!</v>
      </c>
      <c r="AC29" s="158" t="e">
        <f t="shared" si="1"/>
        <v>#REF!</v>
      </c>
      <c r="AD29" s="158" t="e">
        <f t="shared" si="1"/>
        <v>#REF!</v>
      </c>
      <c r="AE29" s="158" t="e">
        <f t="shared" si="1"/>
        <v>#REF!</v>
      </c>
      <c r="AF29" s="148"/>
      <c r="AG29" s="148"/>
    </row>
    <row r="30" spans="1:33" ht="18" hidden="1" x14ac:dyDescent="0.35">
      <c r="A30" s="148" t="s">
        <v>19</v>
      </c>
      <c r="B30" s="175" t="e">
        <f>#REF!</f>
        <v>#REF!</v>
      </c>
      <c r="C30" s="175" t="e">
        <f>#REF!</f>
        <v>#REF!</v>
      </c>
      <c r="D30" s="175" t="e">
        <f>#REF!</f>
        <v>#REF!</v>
      </c>
      <c r="E30" s="175" t="e">
        <f>#REF!</f>
        <v>#REF!</v>
      </c>
      <c r="F30" s="175" t="e">
        <f>#REF!</f>
        <v>#REF!</v>
      </c>
      <c r="G30" s="175" t="e">
        <f>#REF!</f>
        <v>#REF!</v>
      </c>
      <c r="H30" s="175" t="e">
        <f>#REF!</f>
        <v>#REF!</v>
      </c>
      <c r="I30" s="175" t="e">
        <f>#REF!</f>
        <v>#REF!</v>
      </c>
      <c r="J30" s="175" t="e">
        <f>#REF!</f>
        <v>#REF!</v>
      </c>
      <c r="K30" s="175" t="e">
        <f>#REF!</f>
        <v>#REF!</v>
      </c>
      <c r="L30" s="175" t="e">
        <f>#REF!</f>
        <v>#REF!</v>
      </c>
      <c r="M30" s="175" t="e">
        <f>#REF!</f>
        <v>#REF!</v>
      </c>
      <c r="N30" s="175" t="e">
        <f>#REF!</f>
        <v>#REF!</v>
      </c>
      <c r="O30" s="175" t="e">
        <f>#REF!</f>
        <v>#REF!</v>
      </c>
      <c r="P30" s="175" t="e">
        <f>#REF!</f>
        <v>#REF!</v>
      </c>
      <c r="Q30" s="175" t="e">
        <f>#REF!</f>
        <v>#REF!</v>
      </c>
      <c r="R30" s="175" t="e">
        <f>#REF!</f>
        <v>#REF!</v>
      </c>
      <c r="S30" s="175" t="e">
        <f>#REF!</f>
        <v>#REF!</v>
      </c>
      <c r="T30" s="175" t="e">
        <f>#REF!</f>
        <v>#REF!</v>
      </c>
      <c r="U30" s="175" t="e">
        <f>#REF!</f>
        <v>#REF!</v>
      </c>
      <c r="V30" s="175" t="e">
        <f>#REF!</f>
        <v>#REF!</v>
      </c>
      <c r="W30" s="175" t="e">
        <f>#REF!</f>
        <v>#REF!</v>
      </c>
      <c r="X30" s="175" t="e">
        <f>#REF!</f>
        <v>#REF!</v>
      </c>
      <c r="Y30" s="175" t="e">
        <f>#REF!</f>
        <v>#REF!</v>
      </c>
      <c r="Z30" s="175" t="e">
        <f>#REF!</f>
        <v>#REF!</v>
      </c>
      <c r="AA30" s="175" t="e">
        <f>#REF!</f>
        <v>#REF!</v>
      </c>
      <c r="AB30" s="175" t="e">
        <f>#REF!</f>
        <v>#REF!</v>
      </c>
      <c r="AC30" s="175" t="e">
        <f>#REF!</f>
        <v>#REF!</v>
      </c>
      <c r="AD30" s="175" t="e">
        <f>#REF!</f>
        <v>#REF!</v>
      </c>
      <c r="AE30" s="175" t="e">
        <f>#REF!</f>
        <v>#REF!</v>
      </c>
      <c r="AF30" s="164" t="s">
        <v>53</v>
      </c>
      <c r="AG30" s="148" t="s">
        <v>54</v>
      </c>
    </row>
    <row r="31" spans="1:33" ht="18" hidden="1" x14ac:dyDescent="0.25">
      <c r="A31" s="177" t="s">
        <v>55</v>
      </c>
      <c r="B31" s="158" t="e">
        <f>B30*$B$17</f>
        <v>#REF!</v>
      </c>
      <c r="C31" s="158" t="e">
        <f t="shared" ref="C31:AE31" si="2">C30*$B$17</f>
        <v>#REF!</v>
      </c>
      <c r="D31" s="158" t="e">
        <f t="shared" si="2"/>
        <v>#REF!</v>
      </c>
      <c r="E31" s="158" t="e">
        <f t="shared" si="2"/>
        <v>#REF!</v>
      </c>
      <c r="F31" s="158" t="e">
        <f t="shared" si="2"/>
        <v>#REF!</v>
      </c>
      <c r="G31" s="158" t="e">
        <f t="shared" si="2"/>
        <v>#REF!</v>
      </c>
      <c r="H31" s="158" t="e">
        <f t="shared" si="2"/>
        <v>#REF!</v>
      </c>
      <c r="I31" s="158" t="e">
        <f t="shared" si="2"/>
        <v>#REF!</v>
      </c>
      <c r="J31" s="158" t="e">
        <f t="shared" si="2"/>
        <v>#REF!</v>
      </c>
      <c r="K31" s="158" t="e">
        <f t="shared" si="2"/>
        <v>#REF!</v>
      </c>
      <c r="L31" s="158" t="e">
        <f t="shared" si="2"/>
        <v>#REF!</v>
      </c>
      <c r="M31" s="158" t="e">
        <f t="shared" si="2"/>
        <v>#REF!</v>
      </c>
      <c r="N31" s="158" t="e">
        <f t="shared" si="2"/>
        <v>#REF!</v>
      </c>
      <c r="O31" s="158" t="e">
        <f t="shared" si="2"/>
        <v>#REF!</v>
      </c>
      <c r="P31" s="158" t="e">
        <f t="shared" si="2"/>
        <v>#REF!</v>
      </c>
      <c r="Q31" s="158" t="e">
        <f t="shared" si="2"/>
        <v>#REF!</v>
      </c>
      <c r="R31" s="158" t="e">
        <f t="shared" si="2"/>
        <v>#REF!</v>
      </c>
      <c r="S31" s="158" t="e">
        <f t="shared" si="2"/>
        <v>#REF!</v>
      </c>
      <c r="T31" s="158" t="e">
        <f t="shared" si="2"/>
        <v>#REF!</v>
      </c>
      <c r="U31" s="158" t="e">
        <f t="shared" si="2"/>
        <v>#REF!</v>
      </c>
      <c r="V31" s="158" t="e">
        <f t="shared" si="2"/>
        <v>#REF!</v>
      </c>
      <c r="W31" s="158" t="e">
        <f t="shared" si="2"/>
        <v>#REF!</v>
      </c>
      <c r="X31" s="158" t="e">
        <f t="shared" si="2"/>
        <v>#REF!</v>
      </c>
      <c r="Y31" s="158" t="e">
        <f t="shared" si="2"/>
        <v>#REF!</v>
      </c>
      <c r="Z31" s="158" t="e">
        <f t="shared" si="2"/>
        <v>#REF!</v>
      </c>
      <c r="AA31" s="158" t="e">
        <f t="shared" si="2"/>
        <v>#REF!</v>
      </c>
      <c r="AB31" s="158" t="e">
        <f t="shared" si="2"/>
        <v>#REF!</v>
      </c>
      <c r="AC31" s="158" t="e">
        <f t="shared" si="2"/>
        <v>#REF!</v>
      </c>
      <c r="AD31" s="158" t="e">
        <f t="shared" si="2"/>
        <v>#REF!</v>
      </c>
      <c r="AE31" s="158" t="e">
        <f t="shared" si="2"/>
        <v>#REF!</v>
      </c>
      <c r="AF31" s="178" t="e">
        <f>SUM(B31:AE31)</f>
        <v>#REF!</v>
      </c>
      <c r="AG31" s="150" t="e">
        <f>IF(#REF!=0,0,AF31/#REF!)</f>
        <v>#REF!</v>
      </c>
    </row>
    <row r="33" spans="1:1" x14ac:dyDescent="0.25">
      <c r="A33" s="471" t="s">
        <v>521</v>
      </c>
    </row>
  </sheetData>
  <sheetProtection formatCells="0" formatColumns="0" formatRows="0" insertColumns="0" insertRows="0"/>
  <customSheetViews>
    <customSheetView guid="{E65377FD-65C5-4E48-ADBC-1C49981F2400}" topLeftCell="A7">
      <selection activeCell="B15" sqref="B15:B17"/>
      <pageMargins left="0.7" right="0.7" top="0.75" bottom="0.75" header="0.3" footer="0.3"/>
      <pageSetup orientation="portrait" r:id="rId1"/>
    </customSheetView>
  </customSheetViews>
  <mergeCells count="1">
    <mergeCell ref="A2:V3"/>
  </mergeCell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2:J272"/>
  <sheetViews>
    <sheetView topLeftCell="A13" workbookViewId="0">
      <selection activeCell="A31" sqref="A31"/>
    </sheetView>
  </sheetViews>
  <sheetFormatPr defaultColWidth="8.85546875" defaultRowHeight="15" x14ac:dyDescent="0.25"/>
  <cols>
    <col min="1" max="1" width="16.7109375" customWidth="1"/>
    <col min="2" max="2" width="18.85546875" customWidth="1"/>
    <col min="3" max="3" width="15" customWidth="1"/>
    <col min="5" max="5" width="23.85546875" customWidth="1"/>
    <col min="6" max="6" width="20" customWidth="1"/>
    <col min="7" max="7" width="19.42578125" customWidth="1"/>
    <col min="8" max="8" width="19.28515625" customWidth="1"/>
    <col min="9" max="9" width="21.85546875" customWidth="1"/>
    <col min="10" max="10" width="15.7109375" customWidth="1"/>
  </cols>
  <sheetData>
    <row r="2" spans="1:10" ht="51" customHeight="1" x14ac:dyDescent="0.25">
      <c r="A2" s="430" t="s">
        <v>311</v>
      </c>
      <c r="B2" s="431"/>
      <c r="C2" s="431"/>
      <c r="D2" s="431"/>
      <c r="E2" s="431"/>
      <c r="F2" s="431"/>
      <c r="G2" s="431"/>
      <c r="H2" s="432"/>
    </row>
    <row r="4" spans="1:10" x14ac:dyDescent="0.25">
      <c r="A4" s="7" t="s">
        <v>260</v>
      </c>
      <c r="B4" s="11"/>
      <c r="C4" s="11"/>
      <c r="D4" s="11"/>
      <c r="E4" s="11"/>
      <c r="F4" s="11"/>
      <c r="G4" s="11"/>
      <c r="H4" s="11"/>
      <c r="I4" s="11"/>
      <c r="J4" s="11"/>
    </row>
    <row r="5" spans="1:10" x14ac:dyDescent="0.25">
      <c r="A5" s="11"/>
      <c r="B5" s="11"/>
      <c r="C5" s="11"/>
      <c r="D5" s="11"/>
      <c r="E5" s="11"/>
      <c r="F5" s="11"/>
      <c r="G5" s="11"/>
      <c r="H5" s="11"/>
      <c r="I5" s="11"/>
      <c r="J5" s="11"/>
    </row>
    <row r="6" spans="1:10" x14ac:dyDescent="0.25">
      <c r="A6" s="11" t="s">
        <v>261</v>
      </c>
      <c r="B6" s="11"/>
      <c r="C6" s="188"/>
      <c r="D6" s="140"/>
      <c r="E6" s="11"/>
      <c r="F6" s="11"/>
      <c r="G6" s="11"/>
      <c r="H6" s="11"/>
      <c r="I6" s="11"/>
      <c r="J6" s="11"/>
    </row>
    <row r="7" spans="1:10" x14ac:dyDescent="0.25">
      <c r="A7" s="11"/>
      <c r="B7" s="11"/>
      <c r="C7" s="11"/>
      <c r="D7" s="11"/>
      <c r="E7" s="11"/>
      <c r="F7" s="11"/>
      <c r="G7" s="11"/>
      <c r="H7" s="11"/>
      <c r="I7" s="11"/>
      <c r="J7" s="140"/>
    </row>
    <row r="8" spans="1:10" ht="32.1" customHeight="1" x14ac:dyDescent="0.25">
      <c r="A8" s="7" t="s">
        <v>262</v>
      </c>
      <c r="B8" s="11"/>
      <c r="C8" s="11"/>
      <c r="D8" s="11"/>
      <c r="E8" s="433" t="s">
        <v>301</v>
      </c>
      <c r="F8" s="433"/>
      <c r="G8" s="433"/>
      <c r="H8" s="433"/>
      <c r="I8" s="433"/>
      <c r="J8" s="433"/>
    </row>
    <row r="9" spans="1:10" x14ac:dyDescent="0.25">
      <c r="A9" s="11"/>
      <c r="B9" s="11"/>
      <c r="C9" s="11"/>
      <c r="D9" s="11"/>
      <c r="E9" s="11"/>
      <c r="F9" s="11"/>
      <c r="G9" s="11"/>
      <c r="H9" s="11"/>
      <c r="I9" s="11"/>
      <c r="J9" s="11"/>
    </row>
    <row r="10" spans="1:10" ht="30" x14ac:dyDescent="0.25">
      <c r="A10" s="11"/>
      <c r="B10" s="11"/>
      <c r="C10" s="11"/>
      <c r="D10" s="11"/>
      <c r="E10" s="258" t="s">
        <v>266</v>
      </c>
      <c r="F10" s="258" t="s">
        <v>267</v>
      </c>
      <c r="G10" s="258" t="s">
        <v>270</v>
      </c>
      <c r="H10" s="258" t="s">
        <v>273</v>
      </c>
      <c r="I10" s="258" t="s">
        <v>275</v>
      </c>
      <c r="J10" s="11"/>
    </row>
    <row r="11" spans="1:10" x14ac:dyDescent="0.25">
      <c r="A11" s="11" t="s">
        <v>263</v>
      </c>
      <c r="B11" s="11"/>
      <c r="C11" s="188"/>
      <c r="D11" s="11" t="s">
        <v>308</v>
      </c>
      <c r="E11" s="188"/>
      <c r="F11" s="188"/>
      <c r="G11" s="188"/>
      <c r="H11" s="188"/>
      <c r="I11" s="188"/>
      <c r="J11" s="259" t="str">
        <f>CONCATENATE(E11,F11,G11,H11,I11)</f>
        <v/>
      </c>
    </row>
    <row r="12" spans="1:10" ht="30" x14ac:dyDescent="0.25">
      <c r="A12" s="11"/>
      <c r="B12" s="11"/>
      <c r="C12" s="140"/>
      <c r="D12" s="11"/>
      <c r="E12" s="258" t="s">
        <v>272</v>
      </c>
      <c r="F12" s="258" t="s">
        <v>268</v>
      </c>
      <c r="G12" s="258" t="s">
        <v>271</v>
      </c>
      <c r="H12" s="13"/>
      <c r="I12" s="11"/>
      <c r="J12" s="11"/>
    </row>
    <row r="13" spans="1:10" x14ac:dyDescent="0.25">
      <c r="A13" s="11" t="s">
        <v>264</v>
      </c>
      <c r="B13" s="11"/>
      <c r="C13" s="188"/>
      <c r="D13" s="11" t="s">
        <v>309</v>
      </c>
      <c r="E13" s="188"/>
      <c r="F13" s="188"/>
      <c r="G13" s="188"/>
      <c r="H13" s="259" t="str">
        <f>CONCATENATE(E13,F13,G13)</f>
        <v/>
      </c>
      <c r="I13" s="260" t="str">
        <f>IF(H13&gt;"Y","WARNING","")</f>
        <v/>
      </c>
      <c r="J13" s="11"/>
    </row>
    <row r="14" spans="1:10" ht="45" x14ac:dyDescent="0.25">
      <c r="A14" s="11"/>
      <c r="B14" s="11"/>
      <c r="C14" s="140"/>
      <c r="D14" s="11"/>
      <c r="E14" s="258" t="s">
        <v>274</v>
      </c>
      <c r="F14" s="258" t="s">
        <v>269</v>
      </c>
      <c r="G14" s="11"/>
      <c r="H14" s="11"/>
      <c r="I14" s="11"/>
      <c r="J14" s="11"/>
    </row>
    <row r="15" spans="1:10" x14ac:dyDescent="0.25">
      <c r="A15" s="11" t="s">
        <v>265</v>
      </c>
      <c r="B15" s="11"/>
      <c r="C15" s="188"/>
      <c r="D15" s="11" t="s">
        <v>310</v>
      </c>
      <c r="E15" s="188"/>
      <c r="F15" s="188"/>
      <c r="G15" s="259" t="str">
        <f>CONCATENATE(E15,F15)</f>
        <v/>
      </c>
      <c r="H15" s="11" t="str">
        <f>IF(G15&gt;"Y","WARNING","")</f>
        <v/>
      </c>
      <c r="I15" s="11"/>
      <c r="J15" s="11"/>
    </row>
    <row r="16" spans="1:10" x14ac:dyDescent="0.25">
      <c r="A16" s="11"/>
      <c r="B16" s="11"/>
      <c r="C16" s="11"/>
      <c r="D16" s="11"/>
      <c r="E16" s="11"/>
      <c r="F16" s="11"/>
      <c r="G16" s="11"/>
      <c r="H16" s="11"/>
      <c r="I16" s="11"/>
      <c r="J16" s="11"/>
    </row>
    <row r="17" spans="1:10" x14ac:dyDescent="0.25">
      <c r="A17" s="11"/>
      <c r="B17" s="11"/>
      <c r="C17" s="11"/>
      <c r="D17" s="11"/>
      <c r="E17" s="11"/>
      <c r="F17" s="11"/>
      <c r="G17" s="11"/>
      <c r="H17" s="11"/>
      <c r="I17" s="11"/>
      <c r="J17" s="11"/>
    </row>
    <row r="18" spans="1:10" x14ac:dyDescent="0.25">
      <c r="A18" s="7" t="s">
        <v>290</v>
      </c>
      <c r="B18" s="11"/>
      <c r="C18" s="11"/>
      <c r="D18" s="11"/>
      <c r="E18" s="261"/>
      <c r="F18" s="140"/>
      <c r="G18" s="140"/>
      <c r="H18" s="140"/>
      <c r="I18" s="140"/>
      <c r="J18" s="11"/>
    </row>
    <row r="19" spans="1:10" x14ac:dyDescent="0.25">
      <c r="A19" s="11"/>
      <c r="B19" s="11"/>
      <c r="C19" s="11"/>
      <c r="D19" s="11"/>
      <c r="E19" s="140"/>
      <c r="F19" s="140"/>
      <c r="G19" s="140"/>
      <c r="H19" s="140"/>
      <c r="I19" s="140"/>
      <c r="J19" s="11"/>
    </row>
    <row r="20" spans="1:10" x14ac:dyDescent="0.25">
      <c r="A20" s="11" t="s">
        <v>284</v>
      </c>
      <c r="B20" s="11"/>
      <c r="C20" s="188"/>
      <c r="D20" s="11" t="s">
        <v>287</v>
      </c>
      <c r="E20" s="261"/>
      <c r="F20" s="140"/>
      <c r="G20" s="140"/>
      <c r="H20" s="140"/>
      <c r="I20" s="140"/>
      <c r="J20" s="11"/>
    </row>
    <row r="21" spans="1:10" x14ac:dyDescent="0.25">
      <c r="A21" s="11" t="s">
        <v>285</v>
      </c>
      <c r="B21" s="11"/>
      <c r="C21" s="188"/>
      <c r="D21" s="11" t="s">
        <v>288</v>
      </c>
      <c r="E21" s="140"/>
      <c r="F21" s="140"/>
      <c r="G21" s="140"/>
      <c r="H21" s="140"/>
      <c r="I21" s="140"/>
      <c r="J21" s="11"/>
    </row>
    <row r="22" spans="1:10" x14ac:dyDescent="0.25">
      <c r="A22" s="11" t="s">
        <v>286</v>
      </c>
      <c r="B22" s="11"/>
      <c r="C22" s="188"/>
      <c r="D22" s="11" t="s">
        <v>107</v>
      </c>
      <c r="E22" s="261"/>
      <c r="F22" s="140"/>
      <c r="G22" s="140"/>
      <c r="H22" s="140"/>
      <c r="I22" s="140"/>
      <c r="J22" s="11"/>
    </row>
    <row r="23" spans="1:10" x14ac:dyDescent="0.25">
      <c r="A23" s="11"/>
      <c r="B23" s="11"/>
      <c r="C23" s="11"/>
      <c r="D23" s="11"/>
      <c r="E23" s="140"/>
      <c r="F23" s="140"/>
      <c r="G23" s="140"/>
      <c r="H23" s="140"/>
      <c r="I23" s="140"/>
      <c r="J23" s="11"/>
    </row>
    <row r="24" spans="1:10" x14ac:dyDescent="0.25">
      <c r="A24" s="11"/>
      <c r="B24" s="11"/>
      <c r="C24" s="11"/>
      <c r="D24" s="11"/>
      <c r="E24" s="140"/>
      <c r="F24" s="140"/>
      <c r="G24" s="140"/>
      <c r="H24" s="140"/>
      <c r="I24" s="140"/>
      <c r="J24" s="11"/>
    </row>
    <row r="25" spans="1:10" x14ac:dyDescent="0.25">
      <c r="A25" s="7" t="s">
        <v>289</v>
      </c>
      <c r="B25" s="11"/>
      <c r="C25" s="11"/>
      <c r="D25" s="11"/>
      <c r="E25" s="261"/>
      <c r="F25" s="140"/>
      <c r="G25" s="140"/>
      <c r="H25" s="140"/>
      <c r="I25" s="140"/>
      <c r="J25" s="11"/>
    </row>
    <row r="26" spans="1:10" x14ac:dyDescent="0.25">
      <c r="A26" s="11" t="s">
        <v>291</v>
      </c>
      <c r="B26" s="11"/>
      <c r="C26" s="188"/>
      <c r="D26" s="11" t="s">
        <v>295</v>
      </c>
      <c r="E26" s="140"/>
      <c r="F26" s="140"/>
      <c r="G26" s="140"/>
      <c r="H26" s="140"/>
      <c r="I26" s="140"/>
      <c r="J26" s="11"/>
    </row>
    <row r="27" spans="1:10" x14ac:dyDescent="0.25">
      <c r="A27" s="11" t="s">
        <v>292</v>
      </c>
      <c r="B27" s="11"/>
      <c r="C27" s="188"/>
      <c r="D27" s="11" t="s">
        <v>296</v>
      </c>
      <c r="E27" s="261"/>
      <c r="F27" s="140"/>
      <c r="G27" s="140"/>
      <c r="H27" s="140"/>
      <c r="I27" s="140"/>
      <c r="J27" s="11"/>
    </row>
    <row r="28" spans="1:10" x14ac:dyDescent="0.25">
      <c r="A28" s="11" t="s">
        <v>293</v>
      </c>
      <c r="B28" s="11"/>
      <c r="C28" s="188"/>
      <c r="D28" s="11" t="s">
        <v>297</v>
      </c>
      <c r="E28" s="261"/>
      <c r="F28" s="140"/>
      <c r="G28" s="140"/>
      <c r="H28" s="140"/>
      <c r="I28" s="140"/>
      <c r="J28" s="11"/>
    </row>
    <row r="29" spans="1:10" x14ac:dyDescent="0.25">
      <c r="A29" s="11" t="s">
        <v>294</v>
      </c>
      <c r="B29" s="11"/>
      <c r="C29" s="188"/>
      <c r="D29" s="11" t="s">
        <v>298</v>
      </c>
      <c r="E29" s="140"/>
      <c r="F29" s="140"/>
      <c r="G29" s="140"/>
      <c r="H29" s="140"/>
      <c r="I29" s="140"/>
      <c r="J29" s="11"/>
    </row>
    <row r="30" spans="1:10" x14ac:dyDescent="0.25">
      <c r="A30" s="11"/>
      <c r="B30" s="11"/>
      <c r="C30" s="140"/>
      <c r="D30" s="11"/>
      <c r="E30" s="140"/>
      <c r="F30" s="11"/>
      <c r="G30" s="140"/>
      <c r="H30" s="140"/>
      <c r="I30" s="140"/>
      <c r="J30" s="11"/>
    </row>
    <row r="31" spans="1:10" x14ac:dyDescent="0.25">
      <c r="A31" s="471" t="s">
        <v>521</v>
      </c>
      <c r="B31" s="11"/>
      <c r="C31" s="11"/>
      <c r="D31" s="11"/>
      <c r="E31" s="140"/>
      <c r="F31" s="140"/>
      <c r="G31" s="140"/>
      <c r="H31" s="140"/>
      <c r="I31" s="140"/>
      <c r="J31" s="11"/>
    </row>
    <row r="32" spans="1:10" x14ac:dyDescent="0.25">
      <c r="A32" s="11"/>
      <c r="B32" s="11"/>
      <c r="C32" s="11"/>
      <c r="D32" s="11"/>
      <c r="E32" s="11"/>
      <c r="F32" s="11"/>
      <c r="G32" s="11"/>
      <c r="H32" s="11"/>
      <c r="I32" s="11"/>
      <c r="J32" s="11"/>
    </row>
    <row r="33" spans="1:10" x14ac:dyDescent="0.25">
      <c r="A33" s="11"/>
      <c r="B33" s="11"/>
      <c r="C33" s="11"/>
      <c r="D33" s="11"/>
      <c r="E33" s="11"/>
      <c r="F33" s="11"/>
      <c r="G33" s="11"/>
      <c r="H33" s="11"/>
      <c r="I33" s="11"/>
      <c r="J33" s="11"/>
    </row>
    <row r="34" spans="1:10" x14ac:dyDescent="0.25">
      <c r="A34" s="262" t="s">
        <v>299</v>
      </c>
      <c r="B34" s="262"/>
      <c r="C34" s="263">
        <f>1000*((('5. Engrais defini par l''utilisa'!C11/100)*'Donnees par defaut'!C73:D73)+(('5. Engrais defini par l''utilisa'!C13/100)*'Donnees par defaut'!C79:D79)+(('5. Engrais defini par l''utilisa'!C15/100)*'Donnees par defaut'!C84:D84)+(('5. Engrais defini par l''utilisa'!C20/100)*'Donnees par defaut'!C86:D86)+(('5. Engrais defini par l''utilisa'!C21/100)*'Donnees par defaut'!C87:D87)+(('5. Engrais defini par l''utilisa'!C22/100)*'Donnees par defaut'!C88:D88)+(('5. Engrais defini par l''utilisa'!C26/100)*'Donnees par defaut'!C89:D89)+(('5. Engrais defini par l''utilisa'!C27/100)*'Donnees par defaut'!C90:D90)+(('5. Engrais defini par l''utilisa'!C28/100)*'Donnees par defaut'!C91:D91)+(('5. Engrais defini par l''utilisa'!C29/100)*'Donnees par defaut'!C92:D92))</f>
        <v>0</v>
      </c>
      <c r="D34" s="11"/>
      <c r="E34" s="11"/>
      <c r="F34" s="11"/>
      <c r="G34" s="11"/>
      <c r="H34" s="11"/>
      <c r="I34" s="11"/>
      <c r="J34" s="11"/>
    </row>
    <row r="35" spans="1:10" s="326" customFormat="1" ht="15.75" thickBot="1" x14ac:dyDescent="0.3"/>
    <row r="36" spans="1:10" x14ac:dyDescent="0.25">
      <c r="A36" s="279"/>
      <c r="B36" s="279"/>
      <c r="C36" s="279"/>
      <c r="D36" s="279"/>
      <c r="E36" s="279"/>
      <c r="F36" s="279"/>
      <c r="G36" s="279"/>
      <c r="H36" s="279"/>
      <c r="I36" s="279"/>
      <c r="J36" s="279"/>
    </row>
    <row r="37" spans="1:10" x14ac:dyDescent="0.25">
      <c r="A37" s="279" t="s">
        <v>261</v>
      </c>
      <c r="B37" s="279"/>
      <c r="C37" s="188"/>
      <c r="D37" s="140"/>
      <c r="E37" s="279"/>
      <c r="F37" s="279"/>
      <c r="G37" s="279"/>
      <c r="H37" s="279"/>
      <c r="I37" s="279"/>
      <c r="J37" s="279"/>
    </row>
    <row r="38" spans="1:10" x14ac:dyDescent="0.25">
      <c r="A38" s="279"/>
      <c r="B38" s="279"/>
      <c r="C38" s="279"/>
      <c r="D38" s="279"/>
      <c r="E38" s="279"/>
      <c r="F38" s="279"/>
      <c r="G38" s="279"/>
      <c r="H38" s="279"/>
      <c r="I38" s="279"/>
      <c r="J38" s="140"/>
    </row>
    <row r="39" spans="1:10" ht="32.1" customHeight="1" x14ac:dyDescent="0.25">
      <c r="A39" s="278" t="s">
        <v>300</v>
      </c>
      <c r="B39" s="279"/>
      <c r="C39" s="279"/>
      <c r="D39" s="279"/>
      <c r="E39" s="433" t="s">
        <v>302</v>
      </c>
      <c r="F39" s="433"/>
      <c r="G39" s="433"/>
      <c r="H39" s="433"/>
      <c r="I39" s="433"/>
      <c r="J39" s="433"/>
    </row>
    <row r="40" spans="1:10" x14ac:dyDescent="0.25">
      <c r="A40" s="279"/>
      <c r="B40" s="279"/>
      <c r="C40" s="279"/>
      <c r="D40" s="279"/>
      <c r="E40" s="279"/>
      <c r="F40" s="279"/>
      <c r="G40" s="279"/>
      <c r="H40" s="279"/>
      <c r="I40" s="279"/>
      <c r="J40" s="279"/>
    </row>
    <row r="41" spans="1:10" ht="30" x14ac:dyDescent="0.25">
      <c r="A41" s="279"/>
      <c r="B41" s="279"/>
      <c r="C41" s="279"/>
      <c r="D41" s="279"/>
      <c r="E41" s="258" t="s">
        <v>266</v>
      </c>
      <c r="F41" s="258" t="s">
        <v>267</v>
      </c>
      <c r="G41" s="258" t="s">
        <v>270</v>
      </c>
      <c r="H41" s="258" t="s">
        <v>273</v>
      </c>
      <c r="I41" s="258" t="s">
        <v>275</v>
      </c>
      <c r="J41" s="279"/>
    </row>
    <row r="42" spans="1:10" x14ac:dyDescent="0.25">
      <c r="A42" s="279" t="s">
        <v>263</v>
      </c>
      <c r="B42" s="279"/>
      <c r="C42" s="188"/>
      <c r="D42" s="279" t="s">
        <v>308</v>
      </c>
      <c r="E42" s="188"/>
      <c r="F42" s="188"/>
      <c r="G42" s="188"/>
      <c r="H42" s="188"/>
      <c r="I42" s="188"/>
      <c r="J42" s="259" t="str">
        <f>CONCATENATE(E42,F42,G42,H42,I42)</f>
        <v/>
      </c>
    </row>
    <row r="43" spans="1:10" ht="30" x14ac:dyDescent="0.25">
      <c r="A43" s="279"/>
      <c r="B43" s="279"/>
      <c r="C43" s="140"/>
      <c r="D43" s="279"/>
      <c r="E43" s="258" t="s">
        <v>272</v>
      </c>
      <c r="F43" s="258" t="s">
        <v>268</v>
      </c>
      <c r="G43" s="258" t="s">
        <v>271</v>
      </c>
      <c r="H43" s="13"/>
      <c r="I43" s="279"/>
      <c r="J43" s="279"/>
    </row>
    <row r="44" spans="1:10" x14ac:dyDescent="0.25">
      <c r="A44" s="279" t="s">
        <v>264</v>
      </c>
      <c r="B44" s="279"/>
      <c r="C44" s="188"/>
      <c r="D44" s="279" t="s">
        <v>309</v>
      </c>
      <c r="E44" s="188"/>
      <c r="F44" s="188"/>
      <c r="G44" s="188"/>
      <c r="H44" s="259" t="str">
        <f>CONCATENATE(E44,F44,G44)</f>
        <v/>
      </c>
      <c r="I44" s="260" t="str">
        <f>IF(H44&gt;"Y","WARNING","")</f>
        <v/>
      </c>
      <c r="J44" s="279"/>
    </row>
    <row r="45" spans="1:10" ht="45" x14ac:dyDescent="0.25">
      <c r="A45" s="279"/>
      <c r="B45" s="279"/>
      <c r="C45" s="140"/>
      <c r="D45" s="279"/>
      <c r="E45" s="258" t="s">
        <v>274</v>
      </c>
      <c r="F45" s="258" t="s">
        <v>269</v>
      </c>
      <c r="G45" s="279"/>
      <c r="H45" s="279"/>
      <c r="I45" s="279"/>
      <c r="J45" s="279"/>
    </row>
    <row r="46" spans="1:10" x14ac:dyDescent="0.25">
      <c r="A46" s="279" t="s">
        <v>265</v>
      </c>
      <c r="B46" s="279"/>
      <c r="C46" s="188"/>
      <c r="D46" s="279" t="s">
        <v>310</v>
      </c>
      <c r="E46" s="188"/>
      <c r="F46" s="188"/>
      <c r="G46" s="259" t="str">
        <f>CONCATENATE(E46,F46)</f>
        <v/>
      </c>
      <c r="H46" s="279" t="str">
        <f>IF(G46&gt;"Y","WARNING","")</f>
        <v/>
      </c>
      <c r="I46" s="279"/>
      <c r="J46" s="279"/>
    </row>
    <row r="47" spans="1:10" x14ac:dyDescent="0.25">
      <c r="A47" s="279"/>
      <c r="B47" s="279"/>
      <c r="C47" s="279"/>
      <c r="D47" s="279"/>
      <c r="E47" s="279"/>
      <c r="F47" s="279"/>
      <c r="G47" s="279"/>
      <c r="H47" s="279"/>
      <c r="I47" s="279"/>
      <c r="J47" s="279"/>
    </row>
    <row r="48" spans="1:10" x14ac:dyDescent="0.25">
      <c r="A48" s="406" t="s">
        <v>290</v>
      </c>
      <c r="B48" s="279"/>
      <c r="C48" s="279"/>
      <c r="D48" s="279"/>
      <c r="E48" s="261"/>
      <c r="F48" s="140"/>
      <c r="G48" s="140"/>
      <c r="H48" s="140"/>
      <c r="I48" s="140"/>
      <c r="J48" s="279"/>
    </row>
    <row r="49" spans="1:10" x14ac:dyDescent="0.25">
      <c r="A49" s="279"/>
      <c r="B49" s="279"/>
      <c r="C49" s="279"/>
      <c r="D49" s="279"/>
      <c r="E49" s="140"/>
      <c r="F49" s="140"/>
      <c r="G49" s="140"/>
      <c r="H49" s="140"/>
      <c r="I49" s="140"/>
      <c r="J49" s="279"/>
    </row>
    <row r="50" spans="1:10" x14ac:dyDescent="0.25">
      <c r="A50" s="279" t="s">
        <v>284</v>
      </c>
      <c r="B50" s="279"/>
      <c r="C50" s="188"/>
      <c r="D50" s="279" t="s">
        <v>287</v>
      </c>
      <c r="E50" s="261"/>
      <c r="F50" s="140"/>
      <c r="G50" s="140"/>
      <c r="H50" s="140"/>
      <c r="I50" s="140"/>
      <c r="J50" s="279"/>
    </row>
    <row r="51" spans="1:10" x14ac:dyDescent="0.25">
      <c r="A51" s="279" t="s">
        <v>285</v>
      </c>
      <c r="B51" s="279"/>
      <c r="C51" s="188"/>
      <c r="D51" s="279" t="s">
        <v>288</v>
      </c>
      <c r="E51" s="140"/>
      <c r="F51" s="140"/>
      <c r="G51" s="140"/>
      <c r="H51" s="140"/>
      <c r="I51" s="140"/>
      <c r="J51" s="279"/>
    </row>
    <row r="52" spans="1:10" x14ac:dyDescent="0.25">
      <c r="A52" s="279" t="s">
        <v>286</v>
      </c>
      <c r="B52" s="279"/>
      <c r="C52" s="188"/>
      <c r="D52" s="279" t="s">
        <v>107</v>
      </c>
      <c r="E52" s="261"/>
      <c r="F52" s="140"/>
      <c r="G52" s="140"/>
      <c r="H52" s="140"/>
      <c r="I52" s="140"/>
      <c r="J52" s="279"/>
    </row>
    <row r="53" spans="1:10" x14ac:dyDescent="0.25">
      <c r="A53" s="279"/>
      <c r="B53" s="279"/>
      <c r="C53" s="279"/>
      <c r="D53" s="279"/>
      <c r="E53" s="140"/>
      <c r="F53" s="140"/>
      <c r="G53" s="140"/>
      <c r="H53" s="140"/>
      <c r="I53" s="140"/>
      <c r="J53" s="279"/>
    </row>
    <row r="54" spans="1:10" x14ac:dyDescent="0.25">
      <c r="A54" s="406" t="s">
        <v>289</v>
      </c>
      <c r="B54" s="279"/>
      <c r="C54" s="279"/>
      <c r="D54" s="279"/>
      <c r="E54" s="261"/>
      <c r="F54" s="140"/>
      <c r="G54" s="140"/>
      <c r="H54" s="140"/>
      <c r="I54" s="140"/>
      <c r="J54" s="279"/>
    </row>
    <row r="55" spans="1:10" x14ac:dyDescent="0.25">
      <c r="A55" s="279" t="s">
        <v>291</v>
      </c>
      <c r="B55" s="279"/>
      <c r="C55" s="188"/>
      <c r="D55" s="407" t="s">
        <v>295</v>
      </c>
      <c r="E55" s="140"/>
      <c r="F55" s="140"/>
      <c r="G55" s="140"/>
      <c r="H55" s="140"/>
      <c r="I55" s="140"/>
      <c r="J55" s="279"/>
    </row>
    <row r="56" spans="1:10" x14ac:dyDescent="0.25">
      <c r="A56" s="279" t="s">
        <v>292</v>
      </c>
      <c r="B56" s="279"/>
      <c r="C56" s="188"/>
      <c r="D56" s="407" t="s">
        <v>296</v>
      </c>
      <c r="E56" s="261"/>
      <c r="F56" s="140"/>
      <c r="G56" s="140"/>
      <c r="H56" s="140"/>
      <c r="I56" s="140"/>
      <c r="J56" s="279"/>
    </row>
    <row r="57" spans="1:10" x14ac:dyDescent="0.25">
      <c r="A57" s="279" t="s">
        <v>293</v>
      </c>
      <c r="B57" s="279"/>
      <c r="C57" s="188"/>
      <c r="D57" s="407" t="s">
        <v>297</v>
      </c>
      <c r="E57" s="261"/>
      <c r="F57" s="140"/>
      <c r="G57" s="140"/>
      <c r="H57" s="140"/>
      <c r="I57" s="140"/>
      <c r="J57" s="279"/>
    </row>
    <row r="58" spans="1:10" x14ac:dyDescent="0.25">
      <c r="A58" s="279" t="s">
        <v>294</v>
      </c>
      <c r="B58" s="279"/>
      <c r="C58" s="188"/>
      <c r="D58" s="407" t="s">
        <v>298</v>
      </c>
      <c r="E58" s="140"/>
      <c r="F58" s="140"/>
      <c r="G58" s="140"/>
      <c r="H58" s="140"/>
      <c r="I58" s="140"/>
      <c r="J58" s="279"/>
    </row>
    <row r="59" spans="1:10" x14ac:dyDescent="0.25">
      <c r="A59" s="279"/>
      <c r="B59" s="279"/>
      <c r="C59" s="279"/>
      <c r="D59" s="279"/>
      <c r="E59" s="279"/>
      <c r="F59" s="279"/>
      <c r="G59" s="279"/>
      <c r="H59" s="279"/>
      <c r="I59" s="279"/>
      <c r="J59" s="279"/>
    </row>
    <row r="60" spans="1:10" x14ac:dyDescent="0.25">
      <c r="A60" s="262" t="s">
        <v>299</v>
      </c>
      <c r="B60" s="262"/>
      <c r="C60" s="263">
        <f>1000*((('5. Engrais defini par l''utilisa'!C42/100)*'Donnees par defaut'!C104:D104)+(('5. Engrais defini par l''utilisa'!C44/100)*'Donnees par defaut'!C110:D110)+(('5. Engrais defini par l''utilisa'!C46/100)*'Donnees par defaut'!C115:D115)+(('5. Engrais defini par l''utilisa'!C50/100)*'Donnees par defaut'!C117:D117)+(('5. Engrais defini par l''utilisa'!C51/100)*'Donnees par defaut'!C118:D118)+(('5. Engrais defini par l''utilisa'!C52/100)*'Donnees par defaut'!C119:D119)+(('5. Engrais defini par l''utilisa'!C55/100)*'Donnees par defaut'!C120:D120)+(('5. Engrais defini par l''utilisa'!C56/100)*'Donnees par defaut'!C121:D121)+(('5. Engrais defini par l''utilisa'!C57/100)*'Donnees par defaut'!C122:D122)+(('5. Engrais defini par l''utilisa'!C58/100)*'Donnees par defaut'!C123:D123))</f>
        <v>0</v>
      </c>
      <c r="D60" s="279"/>
      <c r="E60" s="279"/>
      <c r="F60" s="279"/>
      <c r="G60" s="279"/>
      <c r="H60" s="279"/>
      <c r="I60" s="279"/>
      <c r="J60" s="279"/>
    </row>
    <row r="61" spans="1:10" s="326" customFormat="1" ht="15.75" thickBot="1" x14ac:dyDescent="0.3"/>
    <row r="62" spans="1:10" x14ac:dyDescent="0.25">
      <c r="A62" s="279"/>
      <c r="B62" s="279"/>
      <c r="C62" s="279"/>
      <c r="D62" s="279"/>
      <c r="E62" s="279"/>
      <c r="F62" s="279"/>
      <c r="G62" s="279"/>
      <c r="H62" s="279"/>
      <c r="I62" s="279"/>
      <c r="J62" s="279"/>
    </row>
    <row r="63" spans="1:10" x14ac:dyDescent="0.25">
      <c r="A63" s="407" t="s">
        <v>261</v>
      </c>
      <c r="B63" s="279"/>
      <c r="C63" s="188"/>
      <c r="D63" s="140"/>
      <c r="E63" s="279"/>
      <c r="F63" s="279"/>
      <c r="G63" s="279"/>
      <c r="H63" s="279"/>
      <c r="I63" s="279"/>
      <c r="J63" s="279"/>
    </row>
    <row r="64" spans="1:10" x14ac:dyDescent="0.25">
      <c r="A64" s="279"/>
      <c r="B64" s="279"/>
      <c r="C64" s="279"/>
      <c r="D64" s="279"/>
      <c r="E64" s="279"/>
      <c r="F64" s="279"/>
      <c r="G64" s="279"/>
      <c r="H64" s="279"/>
      <c r="I64" s="279"/>
      <c r="J64" s="140"/>
    </row>
    <row r="65" spans="1:10" ht="32.1" customHeight="1" x14ac:dyDescent="0.25">
      <c r="A65" s="406" t="s">
        <v>300</v>
      </c>
      <c r="B65" s="279"/>
      <c r="C65" s="279"/>
      <c r="D65" s="279"/>
      <c r="E65" s="433" t="s">
        <v>302</v>
      </c>
      <c r="F65" s="433"/>
      <c r="G65" s="433"/>
      <c r="H65" s="433"/>
      <c r="I65" s="433"/>
      <c r="J65" s="433"/>
    </row>
    <row r="66" spans="1:10" x14ac:dyDescent="0.25">
      <c r="A66" s="279"/>
      <c r="B66" s="279"/>
      <c r="C66" s="279"/>
      <c r="D66" s="279"/>
      <c r="E66" s="279"/>
      <c r="F66" s="279"/>
      <c r="G66" s="279"/>
      <c r="H66" s="279"/>
      <c r="I66" s="279"/>
      <c r="J66" s="279"/>
    </row>
    <row r="67" spans="1:10" ht="30" x14ac:dyDescent="0.25">
      <c r="A67" s="279"/>
      <c r="B67" s="279"/>
      <c r="C67" s="279"/>
      <c r="D67" s="279"/>
      <c r="E67" s="258" t="s">
        <v>266</v>
      </c>
      <c r="F67" s="258" t="s">
        <v>267</v>
      </c>
      <c r="G67" s="258" t="s">
        <v>270</v>
      </c>
      <c r="H67" s="258" t="s">
        <v>273</v>
      </c>
      <c r="I67" s="258" t="s">
        <v>275</v>
      </c>
      <c r="J67" s="279"/>
    </row>
    <row r="68" spans="1:10" x14ac:dyDescent="0.25">
      <c r="A68" s="407" t="s">
        <v>263</v>
      </c>
      <c r="B68" s="279"/>
      <c r="C68" s="188"/>
      <c r="D68" s="407" t="s">
        <v>308</v>
      </c>
      <c r="E68" s="188"/>
      <c r="F68" s="188"/>
      <c r="G68" s="188"/>
      <c r="H68" s="188"/>
      <c r="I68" s="188"/>
      <c r="J68" s="259" t="str">
        <f>CONCATENATE(E68,F68,G68,H68,I68)</f>
        <v/>
      </c>
    </row>
    <row r="69" spans="1:10" ht="30" x14ac:dyDescent="0.25">
      <c r="A69" s="407"/>
      <c r="B69" s="279"/>
      <c r="C69" s="140"/>
      <c r="D69" s="407"/>
      <c r="E69" s="258" t="s">
        <v>272</v>
      </c>
      <c r="F69" s="258" t="s">
        <v>268</v>
      </c>
      <c r="G69" s="258" t="s">
        <v>271</v>
      </c>
      <c r="H69" s="13"/>
      <c r="I69" s="279"/>
      <c r="J69" s="279"/>
    </row>
    <row r="70" spans="1:10" x14ac:dyDescent="0.25">
      <c r="A70" s="407" t="s">
        <v>264</v>
      </c>
      <c r="B70" s="279"/>
      <c r="C70" s="188"/>
      <c r="D70" s="407" t="s">
        <v>309</v>
      </c>
      <c r="E70" s="188"/>
      <c r="F70" s="188"/>
      <c r="G70" s="188"/>
      <c r="H70" s="259" t="str">
        <f>CONCATENATE(E70,F70,G70)</f>
        <v/>
      </c>
      <c r="I70" s="260" t="str">
        <f>IF(H70&gt;"Y","WARNING","")</f>
        <v/>
      </c>
      <c r="J70" s="279"/>
    </row>
    <row r="71" spans="1:10" ht="45" x14ac:dyDescent="0.25">
      <c r="A71" s="407"/>
      <c r="B71" s="279"/>
      <c r="C71" s="140"/>
      <c r="D71" s="407"/>
      <c r="E71" s="258" t="s">
        <v>274</v>
      </c>
      <c r="F71" s="258" t="s">
        <v>269</v>
      </c>
      <c r="G71" s="279"/>
      <c r="H71" s="279"/>
      <c r="I71" s="279"/>
      <c r="J71" s="279"/>
    </row>
    <row r="72" spans="1:10" x14ac:dyDescent="0.25">
      <c r="A72" s="407" t="s">
        <v>265</v>
      </c>
      <c r="B72" s="279"/>
      <c r="C72" s="188"/>
      <c r="D72" s="407" t="s">
        <v>310</v>
      </c>
      <c r="E72" s="188"/>
      <c r="F72" s="188"/>
      <c r="G72" s="259" t="str">
        <f>CONCATENATE(E72,F72)</f>
        <v/>
      </c>
      <c r="H72" s="279" t="str">
        <f>IF(G72&gt;"Y","WARNING","")</f>
        <v/>
      </c>
      <c r="I72" s="279"/>
      <c r="J72" s="279"/>
    </row>
    <row r="73" spans="1:10" x14ac:dyDescent="0.25">
      <c r="A73" s="279"/>
      <c r="B73" s="279"/>
      <c r="C73" s="279"/>
      <c r="D73" s="279"/>
      <c r="E73" s="279"/>
      <c r="F73" s="279"/>
      <c r="G73" s="279"/>
      <c r="H73" s="279"/>
      <c r="I73" s="279"/>
      <c r="J73" s="279"/>
    </row>
    <row r="74" spans="1:10" x14ac:dyDescent="0.25">
      <c r="A74" s="406" t="s">
        <v>290</v>
      </c>
      <c r="B74" s="279"/>
      <c r="C74" s="279"/>
      <c r="D74" s="279"/>
      <c r="E74" s="261"/>
      <c r="F74" s="140"/>
      <c r="G74" s="140"/>
      <c r="H74" s="140"/>
      <c r="I74" s="140"/>
      <c r="J74" s="279"/>
    </row>
    <row r="75" spans="1:10" x14ac:dyDescent="0.25">
      <c r="A75" s="279"/>
      <c r="B75" s="279"/>
      <c r="C75" s="279"/>
      <c r="D75" s="279"/>
      <c r="E75" s="140"/>
      <c r="F75" s="140"/>
      <c r="G75" s="140"/>
      <c r="H75" s="140"/>
      <c r="I75" s="140"/>
      <c r="J75" s="279"/>
    </row>
    <row r="76" spans="1:10" x14ac:dyDescent="0.25">
      <c r="A76" s="407" t="s">
        <v>284</v>
      </c>
      <c r="B76" s="279"/>
      <c r="C76" s="188"/>
      <c r="D76" s="407" t="s">
        <v>287</v>
      </c>
      <c r="E76" s="261"/>
      <c r="F76" s="140"/>
      <c r="G76" s="140"/>
      <c r="H76" s="140"/>
      <c r="I76" s="140"/>
      <c r="J76" s="279"/>
    </row>
    <row r="77" spans="1:10" x14ac:dyDescent="0.25">
      <c r="A77" s="407" t="s">
        <v>285</v>
      </c>
      <c r="B77" s="279"/>
      <c r="C77" s="188"/>
      <c r="D77" s="407" t="s">
        <v>288</v>
      </c>
      <c r="E77" s="140"/>
      <c r="F77" s="140"/>
      <c r="G77" s="140"/>
      <c r="H77" s="140"/>
      <c r="I77" s="140"/>
      <c r="J77" s="279"/>
    </row>
    <row r="78" spans="1:10" x14ac:dyDescent="0.25">
      <c r="A78" s="407" t="s">
        <v>286</v>
      </c>
      <c r="B78" s="279"/>
      <c r="C78" s="188"/>
      <c r="D78" s="407" t="s">
        <v>107</v>
      </c>
      <c r="E78" s="261"/>
      <c r="F78" s="140"/>
      <c r="G78" s="140"/>
      <c r="H78" s="140"/>
      <c r="I78" s="140"/>
      <c r="J78" s="279"/>
    </row>
    <row r="79" spans="1:10" x14ac:dyDescent="0.25">
      <c r="A79" s="279"/>
      <c r="B79" s="279"/>
      <c r="C79" s="279"/>
      <c r="D79" s="279"/>
      <c r="E79" s="140"/>
      <c r="F79" s="140"/>
      <c r="G79" s="140"/>
      <c r="H79" s="140"/>
      <c r="I79" s="140"/>
      <c r="J79" s="279"/>
    </row>
    <row r="80" spans="1:10" x14ac:dyDescent="0.25">
      <c r="A80" s="406" t="s">
        <v>289</v>
      </c>
      <c r="B80" s="279"/>
      <c r="C80" s="279"/>
      <c r="D80" s="279"/>
      <c r="E80" s="261"/>
      <c r="F80" s="140"/>
      <c r="G80" s="140"/>
      <c r="H80" s="140"/>
      <c r="I80" s="140"/>
      <c r="J80" s="279"/>
    </row>
    <row r="81" spans="1:10" x14ac:dyDescent="0.25">
      <c r="A81" s="407" t="s">
        <v>291</v>
      </c>
      <c r="B81" s="279"/>
      <c r="C81" s="188"/>
      <c r="D81" s="407" t="s">
        <v>295</v>
      </c>
      <c r="E81" s="140"/>
      <c r="F81" s="140"/>
      <c r="G81" s="140"/>
      <c r="H81" s="140"/>
      <c r="I81" s="140"/>
      <c r="J81" s="279"/>
    </row>
    <row r="82" spans="1:10" x14ac:dyDescent="0.25">
      <c r="A82" s="407" t="s">
        <v>292</v>
      </c>
      <c r="B82" s="279"/>
      <c r="C82" s="188"/>
      <c r="D82" s="407" t="s">
        <v>296</v>
      </c>
      <c r="E82" s="261"/>
      <c r="F82" s="140"/>
      <c r="G82" s="140"/>
      <c r="H82" s="140"/>
      <c r="I82" s="140"/>
      <c r="J82" s="279"/>
    </row>
    <row r="83" spans="1:10" x14ac:dyDescent="0.25">
      <c r="A83" s="407" t="s">
        <v>293</v>
      </c>
      <c r="B83" s="279"/>
      <c r="C83" s="188"/>
      <c r="D83" s="407" t="s">
        <v>297</v>
      </c>
      <c r="E83" s="261"/>
      <c r="F83" s="140"/>
      <c r="G83" s="140"/>
      <c r="H83" s="140"/>
      <c r="I83" s="140"/>
      <c r="J83" s="279"/>
    </row>
    <row r="84" spans="1:10" x14ac:dyDescent="0.25">
      <c r="A84" s="407" t="s">
        <v>294</v>
      </c>
      <c r="B84" s="279"/>
      <c r="C84" s="188"/>
      <c r="D84" s="407" t="s">
        <v>298</v>
      </c>
      <c r="E84" s="140"/>
      <c r="F84" s="140"/>
      <c r="G84" s="140"/>
      <c r="H84" s="140"/>
      <c r="I84" s="140"/>
      <c r="J84" s="279"/>
    </row>
    <row r="85" spans="1:10" x14ac:dyDescent="0.25">
      <c r="A85" s="279"/>
      <c r="B85" s="279"/>
      <c r="C85" s="279"/>
      <c r="D85" s="279"/>
      <c r="E85" s="279"/>
      <c r="F85" s="279"/>
      <c r="G85" s="279"/>
      <c r="H85" s="279"/>
      <c r="I85" s="279"/>
      <c r="J85" s="279"/>
    </row>
    <row r="86" spans="1:10" x14ac:dyDescent="0.25">
      <c r="A86" s="262" t="s">
        <v>299</v>
      </c>
      <c r="B86" s="262"/>
      <c r="C86" s="263">
        <f>1000*((('5. Engrais defini par l''utilisa'!C68/100)*'Donnees par defaut'!C133:D133)+(('5. Engrais defini par l''utilisa'!C70/100)*'Donnees par defaut'!C139:D139)+(('5. Engrais defini par l''utilisa'!C72/100)*'Donnees par defaut'!C144:D144)+(('5. Engrais defini par l''utilisa'!C76/100)*'Donnees par defaut'!C146:D146)+(('5. Engrais defini par l''utilisa'!C77/100)*'Donnees par defaut'!C147:D147)+(('5. Engrais defini par l''utilisa'!C78/100)*'Donnees par defaut'!C148:D148)+(('5. Engrais defini par l''utilisa'!C81/100)*'Donnees par defaut'!C149:D149)+(('5. Engrais defini par l''utilisa'!C82/100)*'Donnees par defaut'!C150:D150)+(('5. Engrais defini par l''utilisa'!C83/100)*'Donnees par defaut'!C151:D151)+(('5. Engrais defini par l''utilisa'!C84/100)*'Donnees par defaut'!C152:D152))</f>
        <v>0</v>
      </c>
      <c r="D86" s="279"/>
      <c r="E86" s="279"/>
      <c r="F86" s="279"/>
      <c r="G86" s="279"/>
      <c r="H86" s="279"/>
      <c r="I86" s="279"/>
      <c r="J86" s="279"/>
    </row>
    <row r="87" spans="1:10" s="326" customFormat="1" ht="15.75" thickBot="1" x14ac:dyDescent="0.3"/>
    <row r="88" spans="1:10" x14ac:dyDescent="0.25">
      <c r="A88" s="279"/>
      <c r="B88" s="279"/>
      <c r="C88" s="279"/>
      <c r="D88" s="279"/>
      <c r="E88" s="279"/>
      <c r="F88" s="279"/>
      <c r="G88" s="279"/>
      <c r="H88" s="279"/>
      <c r="I88" s="279"/>
      <c r="J88" s="279"/>
    </row>
    <row r="89" spans="1:10" x14ac:dyDescent="0.25">
      <c r="A89" s="407" t="s">
        <v>261</v>
      </c>
      <c r="B89" s="279"/>
      <c r="C89" s="188"/>
      <c r="D89" s="140"/>
      <c r="E89" s="279"/>
      <c r="F89" s="279"/>
      <c r="G89" s="279"/>
      <c r="H89" s="279"/>
      <c r="I89" s="279"/>
      <c r="J89" s="279"/>
    </row>
    <row r="90" spans="1:10" x14ac:dyDescent="0.25">
      <c r="A90" s="279"/>
      <c r="B90" s="279"/>
      <c r="C90" s="279"/>
      <c r="D90" s="279"/>
      <c r="E90" s="279"/>
      <c r="F90" s="279"/>
      <c r="G90" s="279"/>
      <c r="H90" s="279"/>
      <c r="I90" s="279"/>
      <c r="J90" s="140"/>
    </row>
    <row r="91" spans="1:10" ht="32.1" customHeight="1" x14ac:dyDescent="0.25">
      <c r="A91" s="406" t="s">
        <v>300</v>
      </c>
      <c r="B91" s="279"/>
      <c r="C91" s="279"/>
      <c r="D91" s="279"/>
      <c r="E91" s="433" t="s">
        <v>302</v>
      </c>
      <c r="F91" s="433"/>
      <c r="G91" s="433"/>
      <c r="H91" s="433"/>
      <c r="I91" s="433"/>
      <c r="J91" s="433"/>
    </row>
    <row r="92" spans="1:10" x14ac:dyDescent="0.25">
      <c r="A92" s="279"/>
      <c r="B92" s="279"/>
      <c r="C92" s="279"/>
      <c r="D92" s="279"/>
      <c r="E92" s="279"/>
      <c r="F92" s="279"/>
      <c r="G92" s="279"/>
      <c r="H92" s="279"/>
      <c r="I92" s="279"/>
      <c r="J92" s="279"/>
    </row>
    <row r="93" spans="1:10" ht="30" x14ac:dyDescent="0.25">
      <c r="A93" s="279"/>
      <c r="B93" s="279"/>
      <c r="C93" s="279"/>
      <c r="D93" s="279"/>
      <c r="E93" s="258" t="s">
        <v>266</v>
      </c>
      <c r="F93" s="258" t="s">
        <v>267</v>
      </c>
      <c r="G93" s="258" t="s">
        <v>270</v>
      </c>
      <c r="H93" s="258" t="s">
        <v>273</v>
      </c>
      <c r="I93" s="258" t="s">
        <v>275</v>
      </c>
      <c r="J93" s="279"/>
    </row>
    <row r="94" spans="1:10" x14ac:dyDescent="0.25">
      <c r="A94" s="407" t="s">
        <v>263</v>
      </c>
      <c r="B94" s="279"/>
      <c r="C94" s="188"/>
      <c r="D94" s="407" t="s">
        <v>308</v>
      </c>
      <c r="E94" s="188"/>
      <c r="F94" s="188"/>
      <c r="G94" s="188"/>
      <c r="H94" s="188"/>
      <c r="I94" s="188"/>
      <c r="J94" s="259" t="str">
        <f>CONCATENATE(E94,F94,G94,H94,I94)</f>
        <v/>
      </c>
    </row>
    <row r="95" spans="1:10" ht="30" x14ac:dyDescent="0.25">
      <c r="A95" s="407"/>
      <c r="B95" s="279"/>
      <c r="C95" s="140"/>
      <c r="D95" s="407"/>
      <c r="E95" s="258" t="s">
        <v>272</v>
      </c>
      <c r="F95" s="258" t="s">
        <v>268</v>
      </c>
      <c r="G95" s="258" t="s">
        <v>271</v>
      </c>
      <c r="H95" s="13"/>
      <c r="I95" s="279"/>
      <c r="J95" s="279"/>
    </row>
    <row r="96" spans="1:10" x14ac:dyDescent="0.25">
      <c r="A96" s="407" t="s">
        <v>264</v>
      </c>
      <c r="B96" s="279"/>
      <c r="C96" s="188"/>
      <c r="D96" s="407" t="s">
        <v>309</v>
      </c>
      <c r="E96" s="188"/>
      <c r="F96" s="188"/>
      <c r="G96" s="188"/>
      <c r="H96" s="259" t="str">
        <f>CONCATENATE(E96,F96,G96)</f>
        <v/>
      </c>
      <c r="I96" s="260" t="str">
        <f>IF(H96&gt;"Y","WARNING","")</f>
        <v/>
      </c>
      <c r="J96" s="279"/>
    </row>
    <row r="97" spans="1:10" ht="45" x14ac:dyDescent="0.25">
      <c r="A97" s="407"/>
      <c r="B97" s="279"/>
      <c r="C97" s="140"/>
      <c r="D97" s="407"/>
      <c r="E97" s="258" t="s">
        <v>274</v>
      </c>
      <c r="F97" s="258" t="s">
        <v>269</v>
      </c>
      <c r="G97" s="279"/>
      <c r="H97" s="279"/>
      <c r="I97" s="279"/>
      <c r="J97" s="279"/>
    </row>
    <row r="98" spans="1:10" x14ac:dyDescent="0.25">
      <c r="A98" s="407" t="s">
        <v>265</v>
      </c>
      <c r="B98" s="279"/>
      <c r="C98" s="188"/>
      <c r="D98" s="407" t="s">
        <v>310</v>
      </c>
      <c r="E98" s="188"/>
      <c r="F98" s="188"/>
      <c r="G98" s="259" t="str">
        <f>CONCATENATE(E98,F98)</f>
        <v/>
      </c>
      <c r="H98" s="279" t="str">
        <f>IF(G98&gt;"Y","WARNING","")</f>
        <v/>
      </c>
      <c r="I98" s="279"/>
      <c r="J98" s="279"/>
    </row>
    <row r="99" spans="1:10" x14ac:dyDescent="0.25">
      <c r="A99" s="279"/>
      <c r="B99" s="279"/>
      <c r="C99" s="279"/>
      <c r="D99" s="279"/>
      <c r="E99" s="279"/>
      <c r="F99" s="279"/>
      <c r="G99" s="279"/>
      <c r="H99" s="279"/>
      <c r="I99" s="279"/>
      <c r="J99" s="279"/>
    </row>
    <row r="100" spans="1:10" x14ac:dyDescent="0.25">
      <c r="A100" s="406" t="s">
        <v>290</v>
      </c>
      <c r="B100" s="279"/>
      <c r="C100" s="279"/>
      <c r="D100" s="279"/>
      <c r="E100" s="261"/>
      <c r="F100" s="140"/>
      <c r="G100" s="140"/>
      <c r="H100" s="140"/>
      <c r="I100" s="140"/>
      <c r="J100" s="279"/>
    </row>
    <row r="101" spans="1:10" x14ac:dyDescent="0.25">
      <c r="A101" s="279"/>
      <c r="B101" s="279"/>
      <c r="C101" s="279"/>
      <c r="D101" s="279"/>
      <c r="E101" s="140"/>
      <c r="F101" s="140"/>
      <c r="G101" s="140"/>
      <c r="H101" s="140"/>
      <c r="I101" s="140"/>
      <c r="J101" s="279"/>
    </row>
    <row r="102" spans="1:10" x14ac:dyDescent="0.25">
      <c r="A102" s="407" t="s">
        <v>284</v>
      </c>
      <c r="B102" s="279"/>
      <c r="C102" s="188"/>
      <c r="D102" s="407" t="s">
        <v>287</v>
      </c>
      <c r="E102" s="261"/>
      <c r="F102" s="140"/>
      <c r="G102" s="140"/>
      <c r="H102" s="140"/>
      <c r="I102" s="140"/>
      <c r="J102" s="279"/>
    </row>
    <row r="103" spans="1:10" x14ac:dyDescent="0.25">
      <c r="A103" s="407" t="s">
        <v>285</v>
      </c>
      <c r="B103" s="279"/>
      <c r="C103" s="188"/>
      <c r="D103" s="407" t="s">
        <v>288</v>
      </c>
      <c r="E103" s="140"/>
      <c r="F103" s="140"/>
      <c r="G103" s="140"/>
      <c r="H103" s="140"/>
      <c r="I103" s="140"/>
      <c r="J103" s="279"/>
    </row>
    <row r="104" spans="1:10" x14ac:dyDescent="0.25">
      <c r="A104" s="407" t="s">
        <v>286</v>
      </c>
      <c r="B104" s="279"/>
      <c r="C104" s="188"/>
      <c r="D104" s="407" t="s">
        <v>107</v>
      </c>
      <c r="E104" s="261"/>
      <c r="F104" s="140"/>
      <c r="G104" s="140"/>
      <c r="H104" s="140"/>
      <c r="I104" s="140"/>
      <c r="J104" s="279"/>
    </row>
    <row r="105" spans="1:10" x14ac:dyDescent="0.25">
      <c r="A105" s="279"/>
      <c r="B105" s="279"/>
      <c r="C105" s="279"/>
      <c r="D105" s="279"/>
      <c r="E105" s="140"/>
      <c r="F105" s="140"/>
      <c r="G105" s="140"/>
      <c r="H105" s="140"/>
      <c r="I105" s="140"/>
      <c r="J105" s="279"/>
    </row>
    <row r="106" spans="1:10" x14ac:dyDescent="0.25">
      <c r="A106" s="406" t="s">
        <v>289</v>
      </c>
      <c r="B106" s="279"/>
      <c r="C106" s="279"/>
      <c r="D106" s="279"/>
      <c r="E106" s="261"/>
      <c r="F106" s="140"/>
      <c r="G106" s="140"/>
      <c r="H106" s="140"/>
      <c r="I106" s="140"/>
      <c r="J106" s="279"/>
    </row>
    <row r="107" spans="1:10" x14ac:dyDescent="0.25">
      <c r="A107" s="407" t="s">
        <v>291</v>
      </c>
      <c r="B107" s="279"/>
      <c r="C107" s="188"/>
      <c r="D107" s="407" t="s">
        <v>295</v>
      </c>
      <c r="E107" s="140"/>
      <c r="F107" s="140"/>
      <c r="G107" s="140"/>
      <c r="H107" s="140"/>
      <c r="I107" s="140"/>
      <c r="J107" s="279"/>
    </row>
    <row r="108" spans="1:10" x14ac:dyDescent="0.25">
      <c r="A108" s="407" t="s">
        <v>292</v>
      </c>
      <c r="B108" s="279"/>
      <c r="C108" s="188"/>
      <c r="D108" s="407" t="s">
        <v>296</v>
      </c>
      <c r="E108" s="261"/>
      <c r="F108" s="140"/>
      <c r="G108" s="140"/>
      <c r="H108" s="140"/>
      <c r="I108" s="140"/>
      <c r="J108" s="279"/>
    </row>
    <row r="109" spans="1:10" x14ac:dyDescent="0.25">
      <c r="A109" s="407" t="s">
        <v>293</v>
      </c>
      <c r="B109" s="279"/>
      <c r="C109" s="188"/>
      <c r="D109" s="407" t="s">
        <v>297</v>
      </c>
      <c r="E109" s="261"/>
      <c r="F109" s="140"/>
      <c r="G109" s="140"/>
      <c r="H109" s="140"/>
      <c r="I109" s="140"/>
      <c r="J109" s="279"/>
    </row>
    <row r="110" spans="1:10" x14ac:dyDescent="0.25">
      <c r="A110" s="407" t="s">
        <v>294</v>
      </c>
      <c r="B110" s="279"/>
      <c r="C110" s="188"/>
      <c r="D110" s="407" t="s">
        <v>298</v>
      </c>
      <c r="E110" s="140"/>
      <c r="F110" s="140"/>
      <c r="G110" s="140"/>
      <c r="H110" s="140"/>
      <c r="I110" s="140"/>
      <c r="J110" s="279"/>
    </row>
    <row r="111" spans="1:10" x14ac:dyDescent="0.25">
      <c r="A111" s="279"/>
      <c r="B111" s="279"/>
      <c r="C111" s="279"/>
      <c r="D111" s="279"/>
      <c r="E111" s="279"/>
      <c r="F111" s="279"/>
      <c r="G111" s="279"/>
      <c r="H111" s="279"/>
      <c r="I111" s="279"/>
      <c r="J111" s="279"/>
    </row>
    <row r="112" spans="1:10" x14ac:dyDescent="0.25">
      <c r="A112" s="262" t="s">
        <v>299</v>
      </c>
      <c r="B112" s="262"/>
      <c r="C112" s="263">
        <f>1000*((('5. Engrais defini par l''utilisa'!C94/100)*'Donnees par defaut'!C162:D162)+(('5. Engrais defini par l''utilisa'!C96/100)*'Donnees par defaut'!C168:D168)+(('5. Engrais defini par l''utilisa'!C98/100)*'Donnees par defaut'!C173:D173)+(('5. Engrais defini par l''utilisa'!C102/100)*'Donnees par defaut'!C175:D175)+(('5. Engrais defini par l''utilisa'!C103/100)*'Donnees par defaut'!C176:D176)+(('5. Engrais defini par l''utilisa'!C104/100)*'Donnees par defaut'!C177:D177)+(('5. Engrais defini par l''utilisa'!C107/100)*'Donnees par defaut'!C178:D178)+(('5. Engrais defini par l''utilisa'!C108/100)*'Donnees par defaut'!C179:D179)+(('5. Engrais defini par l''utilisa'!C109/100)*'Donnees par defaut'!C180:D180)+(('5. Engrais defini par l''utilisa'!C110/100)*'Donnees par defaut'!C181:D181))</f>
        <v>0</v>
      </c>
      <c r="D112" s="279"/>
      <c r="E112" s="279"/>
      <c r="F112" s="279"/>
      <c r="G112" s="279"/>
      <c r="H112" s="279"/>
      <c r="I112" s="279"/>
      <c r="J112" s="279"/>
    </row>
    <row r="113" spans="1:10" s="326" customFormat="1" ht="15.75" thickBot="1" x14ac:dyDescent="0.3"/>
    <row r="114" spans="1:10" x14ac:dyDescent="0.25">
      <c r="A114" s="279"/>
      <c r="B114" s="279"/>
      <c r="C114" s="279"/>
      <c r="D114" s="279"/>
      <c r="E114" s="279"/>
      <c r="F114" s="279"/>
      <c r="G114" s="279"/>
      <c r="H114" s="279"/>
      <c r="I114" s="279"/>
      <c r="J114" s="279"/>
    </row>
    <row r="115" spans="1:10" x14ac:dyDescent="0.25">
      <c r="A115" s="407" t="s">
        <v>261</v>
      </c>
      <c r="B115" s="279"/>
      <c r="C115" s="188"/>
      <c r="D115" s="140"/>
      <c r="E115" s="279"/>
      <c r="F115" s="279"/>
      <c r="G115" s="279"/>
      <c r="H115" s="279"/>
      <c r="I115" s="279"/>
      <c r="J115" s="279"/>
    </row>
    <row r="116" spans="1:10" x14ac:dyDescent="0.25">
      <c r="A116" s="279"/>
      <c r="B116" s="279"/>
      <c r="C116" s="279"/>
      <c r="D116" s="279"/>
      <c r="E116" s="279"/>
      <c r="F116" s="279"/>
      <c r="G116" s="279"/>
      <c r="H116" s="279"/>
      <c r="I116" s="279"/>
      <c r="J116" s="140"/>
    </row>
    <row r="117" spans="1:10" ht="32.1" customHeight="1" x14ac:dyDescent="0.25">
      <c r="A117" s="406" t="s">
        <v>300</v>
      </c>
      <c r="B117" s="279"/>
      <c r="C117" s="279"/>
      <c r="D117" s="279"/>
      <c r="E117" s="433" t="s">
        <v>302</v>
      </c>
      <c r="F117" s="433"/>
      <c r="G117" s="433"/>
      <c r="H117" s="433"/>
      <c r="I117" s="433"/>
      <c r="J117" s="433"/>
    </row>
    <row r="118" spans="1:10" x14ac:dyDescent="0.25">
      <c r="A118" s="279"/>
      <c r="B118" s="279"/>
      <c r="C118" s="279"/>
      <c r="D118" s="279"/>
      <c r="E118" s="279"/>
      <c r="F118" s="279"/>
      <c r="G118" s="279"/>
      <c r="H118" s="279"/>
      <c r="I118" s="279"/>
      <c r="J118" s="279"/>
    </row>
    <row r="119" spans="1:10" ht="30" x14ac:dyDescent="0.25">
      <c r="A119" s="279"/>
      <c r="B119" s="279"/>
      <c r="C119" s="279"/>
      <c r="D119" s="279"/>
      <c r="E119" s="258" t="s">
        <v>266</v>
      </c>
      <c r="F119" s="258" t="s">
        <v>267</v>
      </c>
      <c r="G119" s="258" t="s">
        <v>270</v>
      </c>
      <c r="H119" s="258" t="s">
        <v>273</v>
      </c>
      <c r="I119" s="258" t="s">
        <v>275</v>
      </c>
      <c r="J119" s="279"/>
    </row>
    <row r="120" spans="1:10" x14ac:dyDescent="0.25">
      <c r="A120" s="407" t="s">
        <v>263</v>
      </c>
      <c r="B120" s="279"/>
      <c r="C120" s="188"/>
      <c r="D120" s="407" t="s">
        <v>308</v>
      </c>
      <c r="E120" s="188"/>
      <c r="F120" s="188"/>
      <c r="G120" s="188"/>
      <c r="H120" s="188"/>
      <c r="I120" s="188"/>
      <c r="J120" s="259" t="str">
        <f>CONCATENATE(E120,F120,G120,H120,I120)</f>
        <v/>
      </c>
    </row>
    <row r="121" spans="1:10" ht="30" x14ac:dyDescent="0.25">
      <c r="A121" s="407"/>
      <c r="B121" s="279"/>
      <c r="C121" s="140"/>
      <c r="D121" s="407"/>
      <c r="E121" s="258" t="s">
        <v>272</v>
      </c>
      <c r="F121" s="258" t="s">
        <v>268</v>
      </c>
      <c r="G121" s="258" t="s">
        <v>271</v>
      </c>
      <c r="H121" s="13"/>
      <c r="I121" s="279"/>
      <c r="J121" s="279"/>
    </row>
    <row r="122" spans="1:10" x14ac:dyDescent="0.25">
      <c r="A122" s="407" t="s">
        <v>264</v>
      </c>
      <c r="B122" s="279"/>
      <c r="C122" s="188"/>
      <c r="D122" s="407" t="s">
        <v>309</v>
      </c>
      <c r="E122" s="188"/>
      <c r="F122" s="188"/>
      <c r="G122" s="188"/>
      <c r="H122" s="259" t="str">
        <f>CONCATENATE(E122,F122,G122)</f>
        <v/>
      </c>
      <c r="I122" s="260" t="str">
        <f>IF(H122&gt;"Y","WARNING","")</f>
        <v/>
      </c>
      <c r="J122" s="279"/>
    </row>
    <row r="123" spans="1:10" ht="45" x14ac:dyDescent="0.25">
      <c r="A123" s="407"/>
      <c r="B123" s="279"/>
      <c r="C123" s="140"/>
      <c r="D123" s="407"/>
      <c r="E123" s="258" t="s">
        <v>274</v>
      </c>
      <c r="F123" s="258" t="s">
        <v>269</v>
      </c>
      <c r="G123" s="279"/>
      <c r="H123" s="279"/>
      <c r="I123" s="279"/>
      <c r="J123" s="279"/>
    </row>
    <row r="124" spans="1:10" x14ac:dyDescent="0.25">
      <c r="A124" s="407" t="s">
        <v>265</v>
      </c>
      <c r="B124" s="279"/>
      <c r="C124" s="188"/>
      <c r="D124" s="407" t="s">
        <v>310</v>
      </c>
      <c r="E124" s="188"/>
      <c r="F124" s="188"/>
      <c r="G124" s="259" t="str">
        <f>CONCATENATE(E124,F124)</f>
        <v/>
      </c>
      <c r="H124" s="279" t="str">
        <f>IF(G124&gt;"Y","WARNING","")</f>
        <v/>
      </c>
      <c r="I124" s="279"/>
      <c r="J124" s="279"/>
    </row>
    <row r="125" spans="1:10" x14ac:dyDescent="0.25">
      <c r="A125" s="279"/>
      <c r="B125" s="279"/>
      <c r="C125" s="279"/>
      <c r="D125" s="279"/>
      <c r="E125" s="279"/>
      <c r="F125" s="279"/>
      <c r="G125" s="279"/>
      <c r="H125" s="279"/>
      <c r="I125" s="279"/>
      <c r="J125" s="279"/>
    </row>
    <row r="126" spans="1:10" x14ac:dyDescent="0.25">
      <c r="A126" s="406" t="s">
        <v>290</v>
      </c>
      <c r="B126" s="279"/>
      <c r="C126" s="279"/>
      <c r="D126" s="279"/>
      <c r="E126" s="261"/>
      <c r="F126" s="140"/>
      <c r="G126" s="140"/>
      <c r="H126" s="140"/>
      <c r="I126" s="140"/>
      <c r="J126" s="279"/>
    </row>
    <row r="127" spans="1:10" x14ac:dyDescent="0.25">
      <c r="A127" s="279"/>
      <c r="B127" s="279"/>
      <c r="C127" s="279"/>
      <c r="D127" s="279"/>
      <c r="E127" s="140"/>
      <c r="F127" s="140"/>
      <c r="G127" s="140"/>
      <c r="H127" s="140"/>
      <c r="I127" s="140"/>
      <c r="J127" s="279"/>
    </row>
    <row r="128" spans="1:10" x14ac:dyDescent="0.25">
      <c r="A128" s="407" t="s">
        <v>284</v>
      </c>
      <c r="B128" s="279"/>
      <c r="C128" s="188"/>
      <c r="D128" s="407" t="s">
        <v>287</v>
      </c>
      <c r="E128" s="261"/>
      <c r="F128" s="140"/>
      <c r="G128" s="140"/>
      <c r="H128" s="140"/>
      <c r="I128" s="140"/>
      <c r="J128" s="279"/>
    </row>
    <row r="129" spans="1:10" x14ac:dyDescent="0.25">
      <c r="A129" s="407" t="s">
        <v>285</v>
      </c>
      <c r="B129" s="279"/>
      <c r="C129" s="188"/>
      <c r="D129" s="407" t="s">
        <v>288</v>
      </c>
      <c r="E129" s="140"/>
      <c r="F129" s="140"/>
      <c r="G129" s="140"/>
      <c r="H129" s="140"/>
      <c r="I129" s="140"/>
      <c r="J129" s="279"/>
    </row>
    <row r="130" spans="1:10" x14ac:dyDescent="0.25">
      <c r="A130" s="407" t="s">
        <v>286</v>
      </c>
      <c r="B130" s="279"/>
      <c r="C130" s="188"/>
      <c r="D130" s="407" t="s">
        <v>107</v>
      </c>
      <c r="E130" s="261"/>
      <c r="F130" s="140"/>
      <c r="G130" s="140"/>
      <c r="H130" s="140"/>
      <c r="I130" s="140"/>
      <c r="J130" s="279"/>
    </row>
    <row r="131" spans="1:10" x14ac:dyDescent="0.25">
      <c r="A131" s="279"/>
      <c r="B131" s="279"/>
      <c r="C131" s="279"/>
      <c r="D131" s="279"/>
      <c r="E131" s="140"/>
      <c r="F131" s="140"/>
      <c r="G131" s="140"/>
      <c r="H131" s="140"/>
      <c r="I131" s="140"/>
      <c r="J131" s="279"/>
    </row>
    <row r="132" spans="1:10" x14ac:dyDescent="0.25">
      <c r="A132" s="406" t="s">
        <v>289</v>
      </c>
      <c r="B132" s="279"/>
      <c r="C132" s="279"/>
      <c r="D132" s="279"/>
      <c r="E132" s="261"/>
      <c r="F132" s="140"/>
      <c r="G132" s="140"/>
      <c r="H132" s="140"/>
      <c r="I132" s="140"/>
      <c r="J132" s="279"/>
    </row>
    <row r="133" spans="1:10" x14ac:dyDescent="0.25">
      <c r="A133" s="407" t="s">
        <v>291</v>
      </c>
      <c r="B133" s="279"/>
      <c r="C133" s="188"/>
      <c r="D133" s="407" t="s">
        <v>295</v>
      </c>
      <c r="E133" s="140"/>
      <c r="F133" s="140"/>
      <c r="G133" s="140"/>
      <c r="H133" s="140"/>
      <c r="I133" s="140"/>
      <c r="J133" s="279"/>
    </row>
    <row r="134" spans="1:10" x14ac:dyDescent="0.25">
      <c r="A134" s="407" t="s">
        <v>292</v>
      </c>
      <c r="B134" s="279"/>
      <c r="C134" s="188"/>
      <c r="D134" s="407" t="s">
        <v>296</v>
      </c>
      <c r="E134" s="261"/>
      <c r="F134" s="140"/>
      <c r="G134" s="140"/>
      <c r="H134" s="140"/>
      <c r="I134" s="140"/>
      <c r="J134" s="279"/>
    </row>
    <row r="135" spans="1:10" x14ac:dyDescent="0.25">
      <c r="A135" s="407" t="s">
        <v>293</v>
      </c>
      <c r="B135" s="279"/>
      <c r="C135" s="188"/>
      <c r="D135" s="407" t="s">
        <v>297</v>
      </c>
      <c r="E135" s="261"/>
      <c r="F135" s="140"/>
      <c r="G135" s="140"/>
      <c r="H135" s="140"/>
      <c r="I135" s="140"/>
      <c r="J135" s="279"/>
    </row>
    <row r="136" spans="1:10" x14ac:dyDescent="0.25">
      <c r="A136" s="407" t="s">
        <v>294</v>
      </c>
      <c r="B136" s="279"/>
      <c r="C136" s="188"/>
      <c r="D136" s="407" t="s">
        <v>298</v>
      </c>
      <c r="E136" s="140"/>
      <c r="F136" s="140"/>
      <c r="G136" s="140"/>
      <c r="H136" s="140"/>
      <c r="I136" s="140"/>
      <c r="J136" s="279"/>
    </row>
    <row r="137" spans="1:10" x14ac:dyDescent="0.25">
      <c r="A137" s="279"/>
      <c r="B137" s="279"/>
      <c r="C137" s="279"/>
      <c r="D137" s="279"/>
      <c r="E137" s="279"/>
      <c r="F137" s="279"/>
      <c r="G137" s="279"/>
      <c r="H137" s="279"/>
      <c r="I137" s="279"/>
      <c r="J137" s="279"/>
    </row>
    <row r="138" spans="1:10" x14ac:dyDescent="0.25">
      <c r="A138" s="262" t="s">
        <v>299</v>
      </c>
      <c r="B138" s="262"/>
      <c r="C138" s="263">
        <f>1000*((('5. Engrais defini par l''utilisa'!C120/100)*'Donnees par defaut'!C191:D191)+(('5. Engrais defini par l''utilisa'!C122/100)*'Donnees par defaut'!C197:D197)+(('5. Engrais defini par l''utilisa'!C124/100)*'Donnees par defaut'!C202:D202)+(('5. Engrais defini par l''utilisa'!C128/100)*'Donnees par defaut'!C204:D204)+(('5. Engrais defini par l''utilisa'!C129/100)*'Donnees par defaut'!C205:D205)+(('5. Engrais defini par l''utilisa'!C130/100)*'Donnees par defaut'!C206:D206)+(('5. Engrais defini par l''utilisa'!C133/100)*'Donnees par defaut'!C207:D207)+(('5. Engrais defini par l''utilisa'!C134/100)*'Donnees par defaut'!C208:D208)+(('5. Engrais defini par l''utilisa'!C135/100)*'Donnees par defaut'!C209:D209)+(('5. Engrais defini par l''utilisa'!C136/100)*'Donnees par defaut'!C210:D210))</f>
        <v>0</v>
      </c>
      <c r="D138" s="279"/>
      <c r="E138" s="279"/>
      <c r="F138" s="279"/>
      <c r="G138" s="279"/>
      <c r="H138" s="279"/>
      <c r="I138" s="279"/>
      <c r="J138" s="279"/>
    </row>
    <row r="139" spans="1:10" s="326" customFormat="1" ht="15.75" thickBot="1" x14ac:dyDescent="0.3"/>
    <row r="140" spans="1:10" x14ac:dyDescent="0.25">
      <c r="A140" s="279"/>
      <c r="B140" s="279"/>
      <c r="C140" s="279"/>
      <c r="D140" s="279"/>
      <c r="E140" s="279"/>
      <c r="F140" s="279"/>
      <c r="G140" s="279"/>
      <c r="H140" s="279"/>
      <c r="I140" s="279"/>
      <c r="J140" s="279"/>
    </row>
    <row r="141" spans="1:10" x14ac:dyDescent="0.25">
      <c r="A141" s="407" t="s">
        <v>261</v>
      </c>
      <c r="B141" s="279"/>
      <c r="C141" s="188" t="s">
        <v>303</v>
      </c>
      <c r="D141" s="140"/>
      <c r="E141" s="279"/>
      <c r="F141" s="279"/>
      <c r="G141" s="279"/>
      <c r="H141" s="279"/>
      <c r="I141" s="279"/>
      <c r="J141" s="279"/>
    </row>
    <row r="142" spans="1:10" x14ac:dyDescent="0.25">
      <c r="A142" s="279"/>
      <c r="B142" s="279"/>
      <c r="C142" s="279"/>
      <c r="D142" s="279"/>
      <c r="E142" s="279"/>
      <c r="F142" s="279"/>
      <c r="G142" s="279"/>
      <c r="H142" s="279"/>
      <c r="I142" s="279"/>
      <c r="J142" s="140"/>
    </row>
    <row r="143" spans="1:10" ht="32.1" customHeight="1" x14ac:dyDescent="0.25">
      <c r="A143" s="406" t="s">
        <v>300</v>
      </c>
      <c r="B143" s="279"/>
      <c r="C143" s="279"/>
      <c r="D143" s="279"/>
      <c r="E143" s="433" t="s">
        <v>302</v>
      </c>
      <c r="F143" s="433"/>
      <c r="G143" s="433"/>
      <c r="H143" s="433"/>
      <c r="I143" s="433"/>
      <c r="J143" s="433"/>
    </row>
    <row r="144" spans="1:10" x14ac:dyDescent="0.25">
      <c r="A144" s="279"/>
      <c r="B144" s="279"/>
      <c r="C144" s="279"/>
      <c r="D144" s="279"/>
      <c r="E144" s="279"/>
      <c r="F144" s="279"/>
      <c r="G144" s="279"/>
      <c r="H144" s="279"/>
      <c r="I144" s="279"/>
      <c r="J144" s="279"/>
    </row>
    <row r="145" spans="1:10" ht="30" x14ac:dyDescent="0.25">
      <c r="A145" s="279"/>
      <c r="B145" s="279"/>
      <c r="C145" s="279"/>
      <c r="D145" s="279"/>
      <c r="E145" s="258" t="s">
        <v>266</v>
      </c>
      <c r="F145" s="258" t="s">
        <v>267</v>
      </c>
      <c r="G145" s="258" t="s">
        <v>270</v>
      </c>
      <c r="H145" s="258" t="s">
        <v>273</v>
      </c>
      <c r="I145" s="258" t="s">
        <v>275</v>
      </c>
      <c r="J145" s="279"/>
    </row>
    <row r="146" spans="1:10" x14ac:dyDescent="0.25">
      <c r="A146" s="407" t="s">
        <v>263</v>
      </c>
      <c r="B146" s="279"/>
      <c r="C146" s="188">
        <v>3</v>
      </c>
      <c r="D146" s="407" t="s">
        <v>308</v>
      </c>
      <c r="E146" s="188"/>
      <c r="F146" s="188"/>
      <c r="G146" s="188"/>
      <c r="H146" s="188"/>
      <c r="I146" s="188"/>
      <c r="J146" s="259" t="str">
        <f>CONCATENATE(E146,F146,G146,H146,I146)</f>
        <v/>
      </c>
    </row>
    <row r="147" spans="1:10" ht="30" x14ac:dyDescent="0.25">
      <c r="A147" s="407"/>
      <c r="B147" s="279"/>
      <c r="C147" s="140"/>
      <c r="D147" s="407"/>
      <c r="E147" s="258" t="s">
        <v>272</v>
      </c>
      <c r="F147" s="258" t="s">
        <v>268</v>
      </c>
      <c r="G147" s="258" t="s">
        <v>271</v>
      </c>
      <c r="H147" s="13"/>
      <c r="I147" s="279"/>
      <c r="J147" s="279"/>
    </row>
    <row r="148" spans="1:10" x14ac:dyDescent="0.25">
      <c r="A148" s="407" t="s">
        <v>264</v>
      </c>
      <c r="B148" s="279"/>
      <c r="C148" s="188">
        <v>3</v>
      </c>
      <c r="D148" s="407" t="s">
        <v>309</v>
      </c>
      <c r="E148" s="188"/>
      <c r="F148" s="188"/>
      <c r="G148" s="188"/>
      <c r="H148" s="259" t="str">
        <f>CONCATENATE(E148,F148,G148)</f>
        <v/>
      </c>
      <c r="I148" s="260" t="str">
        <f>IF(H148&gt;"Y","WARNING","")</f>
        <v/>
      </c>
      <c r="J148" s="279"/>
    </row>
    <row r="149" spans="1:10" ht="45" x14ac:dyDescent="0.25">
      <c r="A149" s="407"/>
      <c r="B149" s="279"/>
      <c r="C149" s="140"/>
      <c r="D149" s="407"/>
      <c r="E149" s="258" t="s">
        <v>274</v>
      </c>
      <c r="F149" s="258" t="s">
        <v>269</v>
      </c>
      <c r="G149" s="279"/>
      <c r="H149" s="279"/>
      <c r="I149" s="279"/>
      <c r="J149" s="279"/>
    </row>
    <row r="150" spans="1:10" x14ac:dyDescent="0.25">
      <c r="A150" s="407" t="s">
        <v>265</v>
      </c>
      <c r="B150" s="279"/>
      <c r="C150" s="188">
        <v>3</v>
      </c>
      <c r="D150" s="407" t="s">
        <v>310</v>
      </c>
      <c r="E150" s="188"/>
      <c r="F150" s="188"/>
      <c r="G150" s="259" t="str">
        <f>CONCATENATE(E150,F150)</f>
        <v/>
      </c>
      <c r="H150" s="279" t="str">
        <f>IF(G150&gt;"Y","WARNING","")</f>
        <v/>
      </c>
      <c r="I150" s="279"/>
      <c r="J150" s="279"/>
    </row>
    <row r="151" spans="1:10" x14ac:dyDescent="0.25">
      <c r="A151" s="279"/>
      <c r="B151" s="279"/>
      <c r="C151" s="279"/>
      <c r="D151" s="279"/>
      <c r="E151" s="279"/>
      <c r="F151" s="279"/>
      <c r="G151" s="279"/>
      <c r="H151" s="279"/>
      <c r="I151" s="279"/>
      <c r="J151" s="279"/>
    </row>
    <row r="152" spans="1:10" x14ac:dyDescent="0.25">
      <c r="A152" s="406" t="s">
        <v>290</v>
      </c>
      <c r="B152" s="279"/>
      <c r="C152" s="279"/>
      <c r="D152" s="279"/>
      <c r="E152" s="261"/>
      <c r="F152" s="140"/>
      <c r="G152" s="140"/>
      <c r="H152" s="140"/>
      <c r="I152" s="140"/>
      <c r="J152" s="279"/>
    </row>
    <row r="153" spans="1:10" x14ac:dyDescent="0.25">
      <c r="A153" s="279"/>
      <c r="B153" s="279"/>
      <c r="C153" s="279"/>
      <c r="D153" s="279"/>
      <c r="E153" s="140"/>
      <c r="F153" s="140"/>
      <c r="G153" s="140"/>
      <c r="H153" s="140"/>
      <c r="I153" s="140"/>
      <c r="J153" s="279"/>
    </row>
    <row r="154" spans="1:10" x14ac:dyDescent="0.25">
      <c r="A154" s="407" t="s">
        <v>284</v>
      </c>
      <c r="B154" s="279"/>
      <c r="C154" s="188"/>
      <c r="D154" s="407" t="s">
        <v>287</v>
      </c>
      <c r="E154" s="261"/>
      <c r="F154" s="140"/>
      <c r="G154" s="140"/>
      <c r="H154" s="140"/>
      <c r="I154" s="140"/>
      <c r="J154" s="279"/>
    </row>
    <row r="155" spans="1:10" x14ac:dyDescent="0.25">
      <c r="A155" s="407" t="s">
        <v>285</v>
      </c>
      <c r="B155" s="279"/>
      <c r="C155" s="188"/>
      <c r="D155" s="407" t="s">
        <v>288</v>
      </c>
      <c r="E155" s="140"/>
      <c r="F155" s="140"/>
      <c r="G155" s="140"/>
      <c r="H155" s="140"/>
      <c r="I155" s="140"/>
      <c r="J155" s="279"/>
    </row>
    <row r="156" spans="1:10" x14ac:dyDescent="0.25">
      <c r="A156" s="407" t="s">
        <v>286</v>
      </c>
      <c r="B156" s="279"/>
      <c r="C156" s="188"/>
      <c r="D156" s="407" t="s">
        <v>107</v>
      </c>
      <c r="E156" s="261"/>
      <c r="F156" s="140"/>
      <c r="G156" s="140"/>
      <c r="H156" s="140"/>
      <c r="I156" s="140"/>
      <c r="J156" s="279"/>
    </row>
    <row r="157" spans="1:10" x14ac:dyDescent="0.25">
      <c r="A157" s="279"/>
      <c r="B157" s="279"/>
      <c r="C157" s="279"/>
      <c r="D157" s="279"/>
      <c r="E157" s="140"/>
      <c r="F157" s="140"/>
      <c r="G157" s="140"/>
      <c r="H157" s="140"/>
      <c r="I157" s="140"/>
      <c r="J157" s="279"/>
    </row>
    <row r="158" spans="1:10" x14ac:dyDescent="0.25">
      <c r="A158" s="406" t="s">
        <v>289</v>
      </c>
      <c r="B158" s="279"/>
      <c r="C158" s="279"/>
      <c r="D158" s="279"/>
      <c r="E158" s="261"/>
      <c r="F158" s="140"/>
      <c r="G158" s="140"/>
      <c r="H158" s="140"/>
      <c r="I158" s="140"/>
      <c r="J158" s="279"/>
    </row>
    <row r="159" spans="1:10" x14ac:dyDescent="0.25">
      <c r="A159" s="407" t="s">
        <v>291</v>
      </c>
      <c r="B159" s="279"/>
      <c r="C159" s="188"/>
      <c r="D159" s="407" t="s">
        <v>295</v>
      </c>
      <c r="E159" s="140"/>
      <c r="F159" s="140"/>
      <c r="G159" s="140"/>
      <c r="H159" s="140"/>
      <c r="I159" s="140"/>
      <c r="J159" s="279"/>
    </row>
    <row r="160" spans="1:10" x14ac:dyDescent="0.25">
      <c r="A160" s="407" t="s">
        <v>292</v>
      </c>
      <c r="B160" s="279"/>
      <c r="C160" s="188"/>
      <c r="D160" s="407" t="s">
        <v>296</v>
      </c>
      <c r="E160" s="261"/>
      <c r="F160" s="140"/>
      <c r="G160" s="140"/>
      <c r="H160" s="140"/>
      <c r="I160" s="140"/>
      <c r="J160" s="279"/>
    </row>
    <row r="161" spans="1:10" x14ac:dyDescent="0.25">
      <c r="A161" s="407" t="s">
        <v>293</v>
      </c>
      <c r="B161" s="279"/>
      <c r="C161" s="188"/>
      <c r="D161" s="407" t="s">
        <v>297</v>
      </c>
      <c r="E161" s="261"/>
      <c r="F161" s="140"/>
      <c r="G161" s="140"/>
      <c r="H161" s="140"/>
      <c r="I161" s="140"/>
      <c r="J161" s="279"/>
    </row>
    <row r="162" spans="1:10" x14ac:dyDescent="0.25">
      <c r="A162" s="407" t="s">
        <v>294</v>
      </c>
      <c r="B162" s="279"/>
      <c r="C162" s="188"/>
      <c r="D162" s="407" t="s">
        <v>298</v>
      </c>
      <c r="E162" s="140"/>
      <c r="F162" s="140"/>
      <c r="G162" s="140"/>
      <c r="H162" s="140"/>
      <c r="I162" s="140"/>
      <c r="J162" s="279"/>
    </row>
    <row r="163" spans="1:10" x14ac:dyDescent="0.25">
      <c r="A163" s="279"/>
      <c r="B163" s="279"/>
      <c r="C163" s="279"/>
      <c r="D163" s="279"/>
      <c r="E163" s="279"/>
      <c r="F163" s="279"/>
      <c r="G163" s="279"/>
      <c r="H163" s="279"/>
      <c r="I163" s="279"/>
      <c r="J163" s="279"/>
    </row>
    <row r="164" spans="1:10" x14ac:dyDescent="0.25">
      <c r="A164" s="262" t="s">
        <v>299</v>
      </c>
      <c r="B164" s="262"/>
      <c r="C164" s="263">
        <f>1000*((('5. Engrais defini par l''utilisa'!C146/100)*'Donnees par defaut'!C220:D220)+(('5. Engrais defini par l''utilisa'!C148/100)*'Donnees par defaut'!C226:D226)+(('5. Engrais defini par l''utilisa'!C150/100)*'Donnees par defaut'!C231:D231)+(('5. Engrais defini par l''utilisa'!C154/100)*'Donnees par defaut'!C233:D233)+(('5. Engrais defini par l''utilisa'!C155/100)*'Donnees par defaut'!C234:D234)+(('5. Engrais defini par l''utilisa'!C156/100)*'Donnees par defaut'!C235:D235)+(('5. Engrais defini par l''utilisa'!C159/100)*'Donnees par defaut'!C236:D236)+(('5. Engrais defini par l''utilisa'!C160/100)*'Donnees par defaut'!C237:D237)+(('5. Engrais defini par l''utilisa'!C161/100)*'Donnees par defaut'!C238:D238)+(('5. Engrais defini par l''utilisa'!C162/100)*'Donnees par defaut'!C239:D239))</f>
        <v>212.5</v>
      </c>
      <c r="D164" s="279"/>
      <c r="E164" s="279"/>
      <c r="F164" s="279"/>
      <c r="G164" s="279"/>
      <c r="H164" s="279"/>
      <c r="I164" s="279"/>
      <c r="J164" s="279"/>
    </row>
    <row r="165" spans="1:10" s="326" customFormat="1" ht="15.75" thickBot="1" x14ac:dyDescent="0.3"/>
    <row r="166" spans="1:10" x14ac:dyDescent="0.25">
      <c r="A166" s="279"/>
      <c r="B166" s="279"/>
      <c r="C166" s="279"/>
      <c r="D166" s="279"/>
      <c r="E166" s="279"/>
      <c r="F166" s="279"/>
      <c r="G166" s="279"/>
      <c r="H166" s="279"/>
      <c r="I166" s="279"/>
      <c r="J166" s="279"/>
    </row>
    <row r="167" spans="1:10" x14ac:dyDescent="0.25">
      <c r="A167" s="407" t="s">
        <v>261</v>
      </c>
      <c r="B167" s="279"/>
      <c r="C167" s="188" t="s">
        <v>304</v>
      </c>
      <c r="D167" s="140"/>
      <c r="E167" s="279"/>
      <c r="F167" s="279"/>
      <c r="G167" s="279"/>
      <c r="H167" s="279"/>
      <c r="I167" s="279"/>
      <c r="J167" s="279"/>
    </row>
    <row r="168" spans="1:10" x14ac:dyDescent="0.25">
      <c r="A168" s="279"/>
      <c r="B168" s="279"/>
      <c r="C168" s="279"/>
      <c r="D168" s="279"/>
      <c r="E168" s="279"/>
      <c r="F168" s="279"/>
      <c r="G168" s="279"/>
      <c r="H168" s="279"/>
      <c r="I168" s="279"/>
      <c r="J168" s="140"/>
    </row>
    <row r="169" spans="1:10" ht="32.1" customHeight="1" x14ac:dyDescent="0.25">
      <c r="A169" s="406" t="s">
        <v>300</v>
      </c>
      <c r="B169" s="279"/>
      <c r="C169" s="279"/>
      <c r="D169" s="279"/>
      <c r="E169" s="433" t="s">
        <v>302</v>
      </c>
      <c r="F169" s="433"/>
      <c r="G169" s="433"/>
      <c r="H169" s="433"/>
      <c r="I169" s="433"/>
      <c r="J169" s="433"/>
    </row>
    <row r="170" spans="1:10" x14ac:dyDescent="0.25">
      <c r="A170" s="279"/>
      <c r="B170" s="279"/>
      <c r="C170" s="279"/>
      <c r="D170" s="279"/>
      <c r="E170" s="279"/>
      <c r="F170" s="279"/>
      <c r="G170" s="279"/>
      <c r="H170" s="279"/>
      <c r="I170" s="279"/>
      <c r="J170" s="279"/>
    </row>
    <row r="171" spans="1:10" ht="30" x14ac:dyDescent="0.25">
      <c r="A171" s="279"/>
      <c r="B171" s="279"/>
      <c r="C171" s="279"/>
      <c r="D171" s="279"/>
      <c r="E171" s="258" t="s">
        <v>266</v>
      </c>
      <c r="F171" s="258" t="s">
        <v>267</v>
      </c>
      <c r="G171" s="258" t="s">
        <v>270</v>
      </c>
      <c r="H171" s="258" t="s">
        <v>273</v>
      </c>
      <c r="I171" s="258" t="s">
        <v>275</v>
      </c>
      <c r="J171" s="279"/>
    </row>
    <row r="172" spans="1:10" x14ac:dyDescent="0.25">
      <c r="A172" s="407" t="s">
        <v>263</v>
      </c>
      <c r="B172" s="279"/>
      <c r="C172" s="188">
        <v>3</v>
      </c>
      <c r="D172" s="407" t="s">
        <v>308</v>
      </c>
      <c r="E172" s="188"/>
      <c r="F172" s="188"/>
      <c r="G172" s="188"/>
      <c r="H172" s="188"/>
      <c r="I172" s="188"/>
      <c r="J172" s="259" t="str">
        <f>CONCATENATE(E172,F172,G172,H172,I172)</f>
        <v/>
      </c>
    </row>
    <row r="173" spans="1:10" ht="30" x14ac:dyDescent="0.25">
      <c r="A173" s="407"/>
      <c r="B173" s="279"/>
      <c r="C173" s="140"/>
      <c r="D173" s="407"/>
      <c r="E173" s="258" t="s">
        <v>272</v>
      </c>
      <c r="F173" s="258" t="s">
        <v>268</v>
      </c>
      <c r="G173" s="258" t="s">
        <v>271</v>
      </c>
      <c r="H173" s="13"/>
      <c r="I173" s="279"/>
      <c r="J173" s="279"/>
    </row>
    <row r="174" spans="1:10" x14ac:dyDescent="0.25">
      <c r="A174" s="407" t="s">
        <v>264</v>
      </c>
      <c r="B174" s="279"/>
      <c r="C174" s="188">
        <v>3</v>
      </c>
      <c r="D174" s="407" t="s">
        <v>309</v>
      </c>
      <c r="E174" s="188"/>
      <c r="F174" s="188"/>
      <c r="G174" s="188"/>
      <c r="H174" s="259" t="str">
        <f>CONCATENATE(E174,F174,G174)</f>
        <v/>
      </c>
      <c r="I174" s="260" t="str">
        <f>IF(H174&gt;"Y","WARNING","")</f>
        <v/>
      </c>
      <c r="J174" s="279"/>
    </row>
    <row r="175" spans="1:10" ht="45" x14ac:dyDescent="0.25">
      <c r="A175" s="407"/>
      <c r="B175" s="279"/>
      <c r="C175" s="140"/>
      <c r="D175" s="407"/>
      <c r="E175" s="258" t="s">
        <v>274</v>
      </c>
      <c r="F175" s="258" t="s">
        <v>269</v>
      </c>
      <c r="G175" s="279"/>
      <c r="H175" s="279"/>
      <c r="I175" s="279"/>
      <c r="J175" s="279"/>
    </row>
    <row r="176" spans="1:10" x14ac:dyDescent="0.25">
      <c r="A176" s="407" t="s">
        <v>265</v>
      </c>
      <c r="B176" s="279"/>
      <c r="C176" s="188">
        <v>3</v>
      </c>
      <c r="D176" s="407" t="s">
        <v>310</v>
      </c>
      <c r="E176" s="188"/>
      <c r="F176" s="188"/>
      <c r="G176" s="259" t="str">
        <f>CONCATENATE(E176,F176)</f>
        <v/>
      </c>
      <c r="H176" s="279" t="str">
        <f>IF(G176&gt;"Y","WARNING","")</f>
        <v/>
      </c>
      <c r="I176" s="279"/>
      <c r="J176" s="279"/>
    </row>
    <row r="177" spans="1:10" x14ac:dyDescent="0.25">
      <c r="A177" s="279"/>
      <c r="B177" s="279"/>
      <c r="C177" s="279"/>
      <c r="D177" s="279"/>
      <c r="E177" s="279"/>
      <c r="F177" s="279"/>
      <c r="G177" s="279"/>
      <c r="H177" s="279"/>
      <c r="I177" s="279"/>
      <c r="J177" s="279"/>
    </row>
    <row r="178" spans="1:10" x14ac:dyDescent="0.25">
      <c r="A178" s="406" t="s">
        <v>290</v>
      </c>
      <c r="B178" s="279"/>
      <c r="C178" s="279"/>
      <c r="D178" s="279"/>
      <c r="E178" s="261"/>
      <c r="F178" s="140"/>
      <c r="G178" s="140"/>
      <c r="H178" s="140"/>
      <c r="I178" s="140"/>
      <c r="J178" s="279"/>
    </row>
    <row r="179" spans="1:10" x14ac:dyDescent="0.25">
      <c r="A179" s="279"/>
      <c r="B179" s="279"/>
      <c r="C179" s="279"/>
      <c r="D179" s="279"/>
      <c r="E179" s="140"/>
      <c r="F179" s="140"/>
      <c r="G179" s="140"/>
      <c r="H179" s="140"/>
      <c r="I179" s="140"/>
      <c r="J179" s="279"/>
    </row>
    <row r="180" spans="1:10" x14ac:dyDescent="0.25">
      <c r="A180" s="407" t="s">
        <v>284</v>
      </c>
      <c r="B180" s="279"/>
      <c r="C180" s="188"/>
      <c r="D180" s="407" t="s">
        <v>287</v>
      </c>
      <c r="E180" s="261"/>
      <c r="F180" s="140"/>
      <c r="G180" s="140"/>
      <c r="H180" s="140"/>
      <c r="I180" s="140"/>
      <c r="J180" s="279"/>
    </row>
    <row r="181" spans="1:10" x14ac:dyDescent="0.25">
      <c r="A181" s="407" t="s">
        <v>285</v>
      </c>
      <c r="B181" s="279"/>
      <c r="C181" s="188"/>
      <c r="D181" s="407" t="s">
        <v>288</v>
      </c>
      <c r="E181" s="140"/>
      <c r="F181" s="140"/>
      <c r="G181" s="140"/>
      <c r="H181" s="140"/>
      <c r="I181" s="140"/>
      <c r="J181" s="279"/>
    </row>
    <row r="182" spans="1:10" x14ac:dyDescent="0.25">
      <c r="A182" s="407" t="s">
        <v>286</v>
      </c>
      <c r="B182" s="279"/>
      <c r="C182" s="188"/>
      <c r="D182" s="407" t="s">
        <v>107</v>
      </c>
      <c r="E182" s="261"/>
      <c r="F182" s="140"/>
      <c r="G182" s="140"/>
      <c r="H182" s="140"/>
      <c r="I182" s="140"/>
      <c r="J182" s="279"/>
    </row>
    <row r="183" spans="1:10" x14ac:dyDescent="0.25">
      <c r="A183" s="279"/>
      <c r="B183" s="279"/>
      <c r="C183" s="279"/>
      <c r="D183" s="279"/>
      <c r="E183" s="140"/>
      <c r="F183" s="140"/>
      <c r="G183" s="140"/>
      <c r="H183" s="140"/>
      <c r="I183" s="140"/>
      <c r="J183" s="279"/>
    </row>
    <row r="184" spans="1:10" x14ac:dyDescent="0.25">
      <c r="A184" s="406" t="s">
        <v>289</v>
      </c>
      <c r="B184" s="279"/>
      <c r="C184" s="279"/>
      <c r="D184" s="279"/>
      <c r="E184" s="261"/>
      <c r="F184" s="140"/>
      <c r="G184" s="140"/>
      <c r="H184" s="140"/>
      <c r="I184" s="140"/>
      <c r="J184" s="279"/>
    </row>
    <row r="185" spans="1:10" x14ac:dyDescent="0.25">
      <c r="A185" s="407" t="s">
        <v>291</v>
      </c>
      <c r="B185" s="279"/>
      <c r="C185" s="188"/>
      <c r="D185" s="407" t="s">
        <v>295</v>
      </c>
      <c r="E185" s="140"/>
      <c r="F185" s="140"/>
      <c r="G185" s="140"/>
      <c r="H185" s="140"/>
      <c r="I185" s="140"/>
      <c r="J185" s="279"/>
    </row>
    <row r="186" spans="1:10" x14ac:dyDescent="0.25">
      <c r="A186" s="407" t="s">
        <v>292</v>
      </c>
      <c r="B186" s="279"/>
      <c r="C186" s="188"/>
      <c r="D186" s="407" t="s">
        <v>296</v>
      </c>
      <c r="E186" s="261"/>
      <c r="F186" s="140"/>
      <c r="G186" s="140"/>
      <c r="H186" s="140"/>
      <c r="I186" s="140"/>
      <c r="J186" s="279"/>
    </row>
    <row r="187" spans="1:10" x14ac:dyDescent="0.25">
      <c r="A187" s="407" t="s">
        <v>293</v>
      </c>
      <c r="B187" s="279"/>
      <c r="C187" s="188"/>
      <c r="D187" s="407" t="s">
        <v>297</v>
      </c>
      <c r="E187" s="261"/>
      <c r="F187" s="140"/>
      <c r="G187" s="140"/>
      <c r="H187" s="140"/>
      <c r="I187" s="140"/>
      <c r="J187" s="279"/>
    </row>
    <row r="188" spans="1:10" x14ac:dyDescent="0.25">
      <c r="A188" s="407" t="s">
        <v>294</v>
      </c>
      <c r="B188" s="279"/>
      <c r="C188" s="188"/>
      <c r="D188" s="407" t="s">
        <v>298</v>
      </c>
      <c r="E188" s="140"/>
      <c r="F188" s="140"/>
      <c r="G188" s="140"/>
      <c r="H188" s="140"/>
      <c r="I188" s="140"/>
      <c r="J188" s="279"/>
    </row>
    <row r="189" spans="1:10" x14ac:dyDescent="0.25">
      <c r="A189" s="279"/>
      <c r="B189" s="279"/>
      <c r="C189" s="279"/>
      <c r="D189" s="279"/>
      <c r="E189" s="279"/>
      <c r="F189" s="279"/>
      <c r="G189" s="279"/>
      <c r="H189" s="279"/>
      <c r="I189" s="279"/>
      <c r="J189" s="279"/>
    </row>
    <row r="190" spans="1:10" x14ac:dyDescent="0.25">
      <c r="A190" s="262" t="s">
        <v>299</v>
      </c>
      <c r="B190" s="262"/>
      <c r="C190" s="263">
        <f>1000*((('5. Engrais defini par l''utilisa'!C172/100)*'Donnees par defaut'!C249:D249)+(('5. Engrais defini par l''utilisa'!C174/100)*'Donnees par defaut'!C255:D255)+(('5. Engrais defini par l''utilisa'!C176/100)*'Donnees par defaut'!C260:D260)+(('5. Engrais defini par l''utilisa'!C180/100)*'Donnees par defaut'!C262:D262)+(('5. Engrais defini par l''utilisa'!C181/100)*'Donnees par defaut'!C263:D263)+(('5. Engrais defini par l''utilisa'!C182/100)*'Donnees par defaut'!C264:D264)+(('5. Engrais defini par l''utilisa'!C185/100)*'Donnees par defaut'!C265:D265)+(('5. Engrais defini par l''utilisa'!C186/100)*'Donnees par defaut'!C266:D266)+(('5. Engrais defini par l''utilisa'!C187/100)*'Donnees par defaut'!C267:D267)+(('5. Engrais defini par l''utilisa'!C188/100)*'Donnees par defaut'!C268:D268))</f>
        <v>212.5</v>
      </c>
      <c r="D190" s="279"/>
      <c r="E190" s="279"/>
      <c r="F190" s="279"/>
      <c r="G190" s="279"/>
      <c r="H190" s="279"/>
      <c r="I190" s="279"/>
      <c r="J190" s="279"/>
    </row>
    <row r="191" spans="1:10" s="326" customFormat="1" ht="15.75" thickBot="1" x14ac:dyDescent="0.3"/>
    <row r="192" spans="1:10" x14ac:dyDescent="0.25">
      <c r="A192" s="279"/>
      <c r="B192" s="279"/>
      <c r="C192" s="279"/>
      <c r="D192" s="279"/>
      <c r="E192" s="279"/>
      <c r="F192" s="279"/>
      <c r="G192" s="279"/>
      <c r="H192" s="279"/>
      <c r="I192" s="279"/>
      <c r="J192" s="279"/>
    </row>
    <row r="193" spans="1:10" x14ac:dyDescent="0.25">
      <c r="A193" s="407" t="s">
        <v>261</v>
      </c>
      <c r="B193" s="279"/>
      <c r="C193" s="188" t="s">
        <v>305</v>
      </c>
      <c r="D193" s="140"/>
      <c r="E193" s="279"/>
      <c r="F193" s="279"/>
      <c r="G193" s="279"/>
      <c r="H193" s="279"/>
      <c r="I193" s="279"/>
      <c r="J193" s="279"/>
    </row>
    <row r="194" spans="1:10" x14ac:dyDescent="0.25">
      <c r="A194" s="279"/>
      <c r="B194" s="279"/>
      <c r="C194" s="279"/>
      <c r="D194" s="279"/>
      <c r="E194" s="279"/>
      <c r="F194" s="279"/>
      <c r="G194" s="279"/>
      <c r="H194" s="279"/>
      <c r="I194" s="279"/>
      <c r="J194" s="140"/>
    </row>
    <row r="195" spans="1:10" ht="32.1" customHeight="1" x14ac:dyDescent="0.25">
      <c r="A195" s="406" t="s">
        <v>300</v>
      </c>
      <c r="B195" s="279"/>
      <c r="C195" s="279"/>
      <c r="D195" s="279"/>
      <c r="E195" s="433" t="s">
        <v>302</v>
      </c>
      <c r="F195" s="433"/>
      <c r="G195" s="433"/>
      <c r="H195" s="433"/>
      <c r="I195" s="433"/>
      <c r="J195" s="433"/>
    </row>
    <row r="196" spans="1:10" x14ac:dyDescent="0.25">
      <c r="A196" s="279"/>
      <c r="B196" s="279"/>
      <c r="C196" s="279"/>
      <c r="D196" s="279"/>
      <c r="E196" s="279"/>
      <c r="F196" s="279"/>
      <c r="G196" s="279"/>
      <c r="H196" s="279"/>
      <c r="I196" s="279"/>
      <c r="J196" s="279"/>
    </row>
    <row r="197" spans="1:10" ht="30" x14ac:dyDescent="0.25">
      <c r="A197" s="279"/>
      <c r="B197" s="279"/>
      <c r="C197" s="279"/>
      <c r="D197" s="279"/>
      <c r="E197" s="258" t="s">
        <v>266</v>
      </c>
      <c r="F197" s="258" t="s">
        <v>267</v>
      </c>
      <c r="G197" s="258" t="s">
        <v>270</v>
      </c>
      <c r="H197" s="258" t="s">
        <v>273</v>
      </c>
      <c r="I197" s="258" t="s">
        <v>275</v>
      </c>
      <c r="J197" s="279"/>
    </row>
    <row r="198" spans="1:10" x14ac:dyDescent="0.25">
      <c r="A198" s="407" t="s">
        <v>263</v>
      </c>
      <c r="B198" s="279"/>
      <c r="C198" s="188">
        <v>3</v>
      </c>
      <c r="D198" s="407" t="s">
        <v>308</v>
      </c>
      <c r="E198" s="188"/>
      <c r="F198" s="188"/>
      <c r="G198" s="188"/>
      <c r="H198" s="188"/>
      <c r="I198" s="188"/>
      <c r="J198" s="259" t="str">
        <f>CONCATENATE(E198,F198,G198,H198,I198)</f>
        <v/>
      </c>
    </row>
    <row r="199" spans="1:10" ht="30" x14ac:dyDescent="0.25">
      <c r="A199" s="407"/>
      <c r="B199" s="279"/>
      <c r="C199" s="140"/>
      <c r="D199" s="407"/>
      <c r="E199" s="258" t="s">
        <v>272</v>
      </c>
      <c r="F199" s="258" t="s">
        <v>268</v>
      </c>
      <c r="G199" s="258" t="s">
        <v>271</v>
      </c>
      <c r="H199" s="13"/>
      <c r="I199" s="279"/>
      <c r="J199" s="279"/>
    </row>
    <row r="200" spans="1:10" x14ac:dyDescent="0.25">
      <c r="A200" s="407" t="s">
        <v>264</v>
      </c>
      <c r="B200" s="279"/>
      <c r="C200" s="188">
        <v>3</v>
      </c>
      <c r="D200" s="407" t="s">
        <v>309</v>
      </c>
      <c r="E200" s="188"/>
      <c r="F200" s="188"/>
      <c r="G200" s="188"/>
      <c r="H200" s="259" t="str">
        <f>CONCATENATE(E200,F200,G200)</f>
        <v/>
      </c>
      <c r="I200" s="260" t="str">
        <f>IF(H200&gt;"Y","WARNING","")</f>
        <v/>
      </c>
      <c r="J200" s="279"/>
    </row>
    <row r="201" spans="1:10" ht="45" x14ac:dyDescent="0.25">
      <c r="A201" s="407"/>
      <c r="B201" s="279"/>
      <c r="C201" s="140"/>
      <c r="D201" s="407"/>
      <c r="E201" s="258" t="s">
        <v>274</v>
      </c>
      <c r="F201" s="258" t="s">
        <v>269</v>
      </c>
      <c r="G201" s="279"/>
      <c r="H201" s="279"/>
      <c r="I201" s="279"/>
      <c r="J201" s="279"/>
    </row>
    <row r="202" spans="1:10" x14ac:dyDescent="0.25">
      <c r="A202" s="407" t="s">
        <v>265</v>
      </c>
      <c r="B202" s="279"/>
      <c r="C202" s="188">
        <v>3</v>
      </c>
      <c r="D202" s="407" t="s">
        <v>310</v>
      </c>
      <c r="E202" s="188"/>
      <c r="F202" s="188"/>
      <c r="G202" s="259" t="str">
        <f>CONCATENATE(E202,F202)</f>
        <v/>
      </c>
      <c r="H202" s="279" t="str">
        <f>IF(G202&gt;"Y","WARNING","")</f>
        <v/>
      </c>
      <c r="I202" s="279"/>
      <c r="J202" s="279"/>
    </row>
    <row r="203" spans="1:10" x14ac:dyDescent="0.25">
      <c r="A203" s="279"/>
      <c r="B203" s="279"/>
      <c r="C203" s="279"/>
      <c r="D203" s="279"/>
      <c r="E203" s="279"/>
      <c r="F203" s="279"/>
      <c r="G203" s="279"/>
      <c r="H203" s="279"/>
      <c r="I203" s="279"/>
      <c r="J203" s="279"/>
    </row>
    <row r="204" spans="1:10" x14ac:dyDescent="0.25">
      <c r="A204" s="406" t="s">
        <v>290</v>
      </c>
      <c r="B204" s="279"/>
      <c r="C204" s="279"/>
      <c r="D204" s="279"/>
      <c r="E204" s="261"/>
      <c r="F204" s="140"/>
      <c r="G204" s="140"/>
      <c r="H204" s="140"/>
      <c r="I204" s="140"/>
      <c r="J204" s="279"/>
    </row>
    <row r="205" spans="1:10" x14ac:dyDescent="0.25">
      <c r="A205" s="279"/>
      <c r="B205" s="279"/>
      <c r="C205" s="279"/>
      <c r="D205" s="279"/>
      <c r="E205" s="140"/>
      <c r="F205" s="140"/>
      <c r="G205" s="140"/>
      <c r="H205" s="140"/>
      <c r="I205" s="140"/>
      <c r="J205" s="279"/>
    </row>
    <row r="206" spans="1:10" x14ac:dyDescent="0.25">
      <c r="A206" s="407" t="s">
        <v>284</v>
      </c>
      <c r="B206" s="279"/>
      <c r="C206" s="188"/>
      <c r="D206" s="407" t="s">
        <v>287</v>
      </c>
      <c r="E206" s="261"/>
      <c r="F206" s="140"/>
      <c r="G206" s="140"/>
      <c r="H206" s="140"/>
      <c r="I206" s="140"/>
      <c r="J206" s="279"/>
    </row>
    <row r="207" spans="1:10" x14ac:dyDescent="0.25">
      <c r="A207" s="407" t="s">
        <v>285</v>
      </c>
      <c r="B207" s="279"/>
      <c r="C207" s="188"/>
      <c r="D207" s="407" t="s">
        <v>288</v>
      </c>
      <c r="E207" s="140"/>
      <c r="F207" s="140"/>
      <c r="G207" s="140"/>
      <c r="H207" s="140"/>
      <c r="I207" s="140"/>
      <c r="J207" s="279"/>
    </row>
    <row r="208" spans="1:10" x14ac:dyDescent="0.25">
      <c r="A208" s="407" t="s">
        <v>286</v>
      </c>
      <c r="B208" s="279"/>
      <c r="C208" s="188"/>
      <c r="D208" s="407" t="s">
        <v>107</v>
      </c>
      <c r="E208" s="261"/>
      <c r="F208" s="140"/>
      <c r="G208" s="140"/>
      <c r="H208" s="140"/>
      <c r="I208" s="140"/>
      <c r="J208" s="279"/>
    </row>
    <row r="209" spans="1:10" x14ac:dyDescent="0.25">
      <c r="A209" s="279"/>
      <c r="B209" s="279"/>
      <c r="C209" s="279"/>
      <c r="D209" s="279"/>
      <c r="E209" s="140"/>
      <c r="F209" s="140"/>
      <c r="G209" s="140"/>
      <c r="H209" s="140"/>
      <c r="I209" s="140"/>
      <c r="J209" s="279"/>
    </row>
    <row r="210" spans="1:10" x14ac:dyDescent="0.25">
      <c r="A210" s="406" t="s">
        <v>289</v>
      </c>
      <c r="B210" s="279"/>
      <c r="C210" s="279"/>
      <c r="D210" s="279"/>
      <c r="E210" s="261"/>
      <c r="F210" s="140"/>
      <c r="G210" s="140"/>
      <c r="H210" s="140"/>
      <c r="I210" s="140"/>
      <c r="J210" s="279"/>
    </row>
    <row r="211" spans="1:10" x14ac:dyDescent="0.25">
      <c r="A211" s="407" t="s">
        <v>291</v>
      </c>
      <c r="B211" s="279"/>
      <c r="C211" s="188"/>
      <c r="D211" s="407" t="s">
        <v>295</v>
      </c>
      <c r="E211" s="140"/>
      <c r="F211" s="140"/>
      <c r="G211" s="140"/>
      <c r="H211" s="140"/>
      <c r="I211" s="140"/>
      <c r="J211" s="279"/>
    </row>
    <row r="212" spans="1:10" x14ac:dyDescent="0.25">
      <c r="A212" s="407" t="s">
        <v>292</v>
      </c>
      <c r="B212" s="279"/>
      <c r="C212" s="188"/>
      <c r="D212" s="407" t="s">
        <v>296</v>
      </c>
      <c r="E212" s="261"/>
      <c r="F212" s="140"/>
      <c r="G212" s="140"/>
      <c r="H212" s="140"/>
      <c r="I212" s="140"/>
      <c r="J212" s="279"/>
    </row>
    <row r="213" spans="1:10" x14ac:dyDescent="0.25">
      <c r="A213" s="407" t="s">
        <v>293</v>
      </c>
      <c r="B213" s="279"/>
      <c r="C213" s="188"/>
      <c r="D213" s="407" t="s">
        <v>297</v>
      </c>
      <c r="E213" s="261"/>
      <c r="F213" s="140"/>
      <c r="G213" s="140"/>
      <c r="H213" s="140"/>
      <c r="I213" s="140"/>
      <c r="J213" s="279"/>
    </row>
    <row r="214" spans="1:10" x14ac:dyDescent="0.25">
      <c r="A214" s="407" t="s">
        <v>294</v>
      </c>
      <c r="B214" s="279"/>
      <c r="C214" s="188"/>
      <c r="D214" s="407" t="s">
        <v>298</v>
      </c>
      <c r="E214" s="140"/>
      <c r="F214" s="140"/>
      <c r="G214" s="140"/>
      <c r="H214" s="140"/>
      <c r="I214" s="140"/>
      <c r="J214" s="279"/>
    </row>
    <row r="215" spans="1:10" x14ac:dyDescent="0.25">
      <c r="A215" s="279"/>
      <c r="B215" s="279"/>
      <c r="C215" s="279"/>
      <c r="D215" s="279"/>
      <c r="E215" s="279"/>
      <c r="F215" s="279"/>
      <c r="G215" s="279"/>
      <c r="H215" s="279"/>
      <c r="I215" s="279"/>
      <c r="J215" s="279"/>
    </row>
    <row r="216" spans="1:10" x14ac:dyDescent="0.25">
      <c r="A216" s="262" t="s">
        <v>299</v>
      </c>
      <c r="B216" s="262"/>
      <c r="C216" s="263">
        <f>1000*((('5. Engrais defini par l''utilisa'!C198/100)*'Donnees par defaut'!C278:D278)+(('5. Engrais defini par l''utilisa'!C200/100)*'Donnees par defaut'!C284:D284)+(('5. Engrais defini par l''utilisa'!C202/100)*'Donnees par defaut'!C289:D289)+(('5. Engrais defini par l''utilisa'!C206/100)*'Donnees par defaut'!C291:D291)+(('5. Engrais defini par l''utilisa'!C207/100)*'Donnees par defaut'!C292:D292)+(('5. Engrais defini par l''utilisa'!C208/100)*'Donnees par defaut'!C293:D293)+(('5. Engrais defini par l''utilisa'!C211/100)*'Donnees par defaut'!C294:D294)+(('5. Engrais defini par l''utilisa'!C212/100)*'Donnees par defaut'!C295:D295)+(('5. Engrais defini par l''utilisa'!C213/100)*'Donnees par defaut'!C296:D296)+(('5. Engrais defini par l''utilisa'!C214/100)*'Donnees par defaut'!C297:D297))</f>
        <v>212.5</v>
      </c>
      <c r="D216" s="279"/>
      <c r="E216" s="279"/>
      <c r="F216" s="279"/>
      <c r="G216" s="279"/>
      <c r="H216" s="279"/>
      <c r="I216" s="279"/>
      <c r="J216" s="279"/>
    </row>
    <row r="217" spans="1:10" s="326" customFormat="1" ht="15.75" thickBot="1" x14ac:dyDescent="0.3"/>
    <row r="218" spans="1:10" x14ac:dyDescent="0.25">
      <c r="A218" s="279"/>
      <c r="B218" s="279"/>
      <c r="C218" s="279"/>
      <c r="D218" s="279"/>
      <c r="E218" s="279"/>
      <c r="F218" s="279"/>
      <c r="G218" s="279"/>
      <c r="H218" s="279"/>
      <c r="I218" s="279"/>
      <c r="J218" s="279"/>
    </row>
    <row r="219" spans="1:10" x14ac:dyDescent="0.25">
      <c r="A219" s="407" t="s">
        <v>261</v>
      </c>
      <c r="B219" s="279"/>
      <c r="C219" s="188" t="s">
        <v>306</v>
      </c>
      <c r="D219" s="140"/>
      <c r="E219" s="279"/>
      <c r="F219" s="279"/>
      <c r="G219" s="279"/>
      <c r="H219" s="279"/>
      <c r="I219" s="279"/>
      <c r="J219" s="279"/>
    </row>
    <row r="220" spans="1:10" x14ac:dyDescent="0.25">
      <c r="A220" s="279"/>
      <c r="B220" s="279"/>
      <c r="C220" s="279"/>
      <c r="D220" s="279"/>
      <c r="E220" s="279"/>
      <c r="F220" s="279"/>
      <c r="G220" s="279"/>
      <c r="H220" s="279"/>
      <c r="I220" s="279"/>
      <c r="J220" s="140"/>
    </row>
    <row r="221" spans="1:10" ht="32.1" customHeight="1" x14ac:dyDescent="0.25">
      <c r="A221" s="406" t="s">
        <v>300</v>
      </c>
      <c r="B221" s="279"/>
      <c r="C221" s="279"/>
      <c r="D221" s="279"/>
      <c r="E221" s="433" t="s">
        <v>302</v>
      </c>
      <c r="F221" s="433"/>
      <c r="G221" s="433"/>
      <c r="H221" s="433"/>
      <c r="I221" s="433"/>
      <c r="J221" s="433"/>
    </row>
    <row r="222" spans="1:10" x14ac:dyDescent="0.25">
      <c r="A222" s="279"/>
      <c r="B222" s="279"/>
      <c r="C222" s="279"/>
      <c r="D222" s="279"/>
      <c r="E222" s="279"/>
      <c r="F222" s="279"/>
      <c r="G222" s="279"/>
      <c r="H222" s="279"/>
      <c r="I222" s="279"/>
      <c r="J222" s="279"/>
    </row>
    <row r="223" spans="1:10" ht="30" x14ac:dyDescent="0.25">
      <c r="A223" s="279"/>
      <c r="B223" s="279"/>
      <c r="C223" s="279"/>
      <c r="D223" s="279"/>
      <c r="E223" s="258" t="s">
        <v>266</v>
      </c>
      <c r="F223" s="258" t="s">
        <v>267</v>
      </c>
      <c r="G223" s="258" t="s">
        <v>270</v>
      </c>
      <c r="H223" s="258" t="s">
        <v>273</v>
      </c>
      <c r="I223" s="258" t="s">
        <v>275</v>
      </c>
      <c r="J223" s="279"/>
    </row>
    <row r="224" spans="1:10" x14ac:dyDescent="0.25">
      <c r="A224" s="407" t="s">
        <v>263</v>
      </c>
      <c r="B224" s="279"/>
      <c r="C224" s="188">
        <v>3</v>
      </c>
      <c r="D224" s="407" t="s">
        <v>308</v>
      </c>
      <c r="E224" s="188"/>
      <c r="F224" s="188"/>
      <c r="G224" s="188"/>
      <c r="H224" s="188"/>
      <c r="I224" s="188"/>
      <c r="J224" s="259" t="str">
        <f>CONCATENATE(E224,F224,G224,H224,I224)</f>
        <v/>
      </c>
    </row>
    <row r="225" spans="1:10" ht="30" x14ac:dyDescent="0.25">
      <c r="A225" s="407"/>
      <c r="B225" s="279"/>
      <c r="C225" s="140"/>
      <c r="D225" s="407"/>
      <c r="E225" s="258" t="s">
        <v>272</v>
      </c>
      <c r="F225" s="258" t="s">
        <v>268</v>
      </c>
      <c r="G225" s="258" t="s">
        <v>271</v>
      </c>
      <c r="H225" s="13"/>
      <c r="I225" s="279"/>
      <c r="J225" s="279"/>
    </row>
    <row r="226" spans="1:10" x14ac:dyDescent="0.25">
      <c r="A226" s="407" t="s">
        <v>264</v>
      </c>
      <c r="B226" s="279"/>
      <c r="C226" s="188">
        <v>3</v>
      </c>
      <c r="D226" s="407" t="s">
        <v>309</v>
      </c>
      <c r="E226" s="188"/>
      <c r="F226" s="188"/>
      <c r="G226" s="188"/>
      <c r="H226" s="259" t="str">
        <f>CONCATENATE(E226,F226,G226)</f>
        <v/>
      </c>
      <c r="I226" s="260" t="str">
        <f>IF(H226&gt;"Y","WARNING","")</f>
        <v/>
      </c>
      <c r="J226" s="279"/>
    </row>
    <row r="227" spans="1:10" ht="45" x14ac:dyDescent="0.25">
      <c r="A227" s="407"/>
      <c r="B227" s="279"/>
      <c r="C227" s="140"/>
      <c r="D227" s="407"/>
      <c r="E227" s="258" t="s">
        <v>274</v>
      </c>
      <c r="F227" s="258" t="s">
        <v>269</v>
      </c>
      <c r="G227" s="279"/>
      <c r="H227" s="279"/>
      <c r="I227" s="279"/>
      <c r="J227" s="279"/>
    </row>
    <row r="228" spans="1:10" x14ac:dyDescent="0.25">
      <c r="A228" s="407" t="s">
        <v>265</v>
      </c>
      <c r="B228" s="279"/>
      <c r="C228" s="188">
        <v>3</v>
      </c>
      <c r="D228" s="407" t="s">
        <v>310</v>
      </c>
      <c r="E228" s="188"/>
      <c r="F228" s="188"/>
      <c r="G228" s="259" t="str">
        <f>CONCATENATE(E228,F228)</f>
        <v/>
      </c>
      <c r="H228" s="279" t="str">
        <f>IF(G228&gt;"Y","WARNING","")</f>
        <v/>
      </c>
      <c r="I228" s="279"/>
      <c r="J228" s="279"/>
    </row>
    <row r="229" spans="1:10" x14ac:dyDescent="0.25">
      <c r="A229" s="279"/>
      <c r="B229" s="279"/>
      <c r="C229" s="279"/>
      <c r="D229" s="279"/>
      <c r="E229" s="279"/>
      <c r="F229" s="279"/>
      <c r="G229" s="279"/>
      <c r="H229" s="279"/>
      <c r="I229" s="279"/>
      <c r="J229" s="279"/>
    </row>
    <row r="230" spans="1:10" x14ac:dyDescent="0.25">
      <c r="A230" s="406" t="s">
        <v>290</v>
      </c>
      <c r="B230" s="279"/>
      <c r="C230" s="279"/>
      <c r="D230" s="279"/>
      <c r="E230" s="261"/>
      <c r="F230" s="140"/>
      <c r="G230" s="140"/>
      <c r="H230" s="140"/>
      <c r="I230" s="140"/>
      <c r="J230" s="279"/>
    </row>
    <row r="231" spans="1:10" x14ac:dyDescent="0.25">
      <c r="A231" s="279"/>
      <c r="B231" s="279"/>
      <c r="C231" s="279"/>
      <c r="D231" s="279"/>
      <c r="E231" s="140"/>
      <c r="F231" s="140"/>
      <c r="G231" s="140"/>
      <c r="H231" s="140"/>
      <c r="I231" s="140"/>
      <c r="J231" s="279"/>
    </row>
    <row r="232" spans="1:10" x14ac:dyDescent="0.25">
      <c r="A232" s="407" t="s">
        <v>284</v>
      </c>
      <c r="B232" s="279"/>
      <c r="C232" s="188"/>
      <c r="D232" s="407" t="s">
        <v>287</v>
      </c>
      <c r="E232" s="261"/>
      <c r="F232" s="140"/>
      <c r="G232" s="140"/>
      <c r="H232" s="140"/>
      <c r="I232" s="140"/>
      <c r="J232" s="279"/>
    </row>
    <row r="233" spans="1:10" x14ac:dyDescent="0.25">
      <c r="A233" s="407" t="s">
        <v>285</v>
      </c>
      <c r="B233" s="279"/>
      <c r="C233" s="188"/>
      <c r="D233" s="407" t="s">
        <v>288</v>
      </c>
      <c r="E233" s="140"/>
      <c r="F233" s="140"/>
      <c r="G233" s="140"/>
      <c r="H233" s="140"/>
      <c r="I233" s="140"/>
      <c r="J233" s="279"/>
    </row>
    <row r="234" spans="1:10" x14ac:dyDescent="0.25">
      <c r="A234" s="407" t="s">
        <v>286</v>
      </c>
      <c r="B234" s="279"/>
      <c r="C234" s="188"/>
      <c r="D234" s="407" t="s">
        <v>107</v>
      </c>
      <c r="E234" s="261"/>
      <c r="F234" s="140"/>
      <c r="G234" s="140"/>
      <c r="H234" s="140"/>
      <c r="I234" s="140"/>
      <c r="J234" s="279"/>
    </row>
    <row r="235" spans="1:10" x14ac:dyDescent="0.25">
      <c r="A235" s="279"/>
      <c r="B235" s="279"/>
      <c r="C235" s="279"/>
      <c r="D235" s="279"/>
      <c r="E235" s="140"/>
      <c r="F235" s="140"/>
      <c r="G235" s="140"/>
      <c r="H235" s="140"/>
      <c r="I235" s="140"/>
      <c r="J235" s="279"/>
    </row>
    <row r="236" spans="1:10" x14ac:dyDescent="0.25">
      <c r="A236" s="406" t="s">
        <v>289</v>
      </c>
      <c r="B236" s="279"/>
      <c r="C236" s="279"/>
      <c r="D236" s="279"/>
      <c r="E236" s="261"/>
      <c r="F236" s="140"/>
      <c r="G236" s="140"/>
      <c r="H236" s="140"/>
      <c r="I236" s="140"/>
      <c r="J236" s="279"/>
    </row>
    <row r="237" spans="1:10" x14ac:dyDescent="0.25">
      <c r="A237" s="407" t="s">
        <v>291</v>
      </c>
      <c r="B237" s="279"/>
      <c r="C237" s="188"/>
      <c r="D237" s="407" t="s">
        <v>295</v>
      </c>
      <c r="E237" s="140"/>
      <c r="F237" s="140"/>
      <c r="G237" s="140"/>
      <c r="H237" s="140"/>
      <c r="I237" s="140"/>
      <c r="J237" s="279"/>
    </row>
    <row r="238" spans="1:10" x14ac:dyDescent="0.25">
      <c r="A238" s="407" t="s">
        <v>292</v>
      </c>
      <c r="B238" s="279"/>
      <c r="C238" s="188"/>
      <c r="D238" s="407" t="s">
        <v>296</v>
      </c>
      <c r="E238" s="261"/>
      <c r="F238" s="140"/>
      <c r="G238" s="140"/>
      <c r="H238" s="140"/>
      <c r="I238" s="140"/>
      <c r="J238" s="279"/>
    </row>
    <row r="239" spans="1:10" x14ac:dyDescent="0.25">
      <c r="A239" s="407" t="s">
        <v>293</v>
      </c>
      <c r="B239" s="279"/>
      <c r="C239" s="188"/>
      <c r="D239" s="407" t="s">
        <v>297</v>
      </c>
      <c r="E239" s="261"/>
      <c r="F239" s="140"/>
      <c r="G239" s="140"/>
      <c r="H239" s="140"/>
      <c r="I239" s="140"/>
      <c r="J239" s="279"/>
    </row>
    <row r="240" spans="1:10" x14ac:dyDescent="0.25">
      <c r="A240" s="407" t="s">
        <v>294</v>
      </c>
      <c r="B240" s="279"/>
      <c r="C240" s="188"/>
      <c r="D240" s="407" t="s">
        <v>298</v>
      </c>
      <c r="E240" s="140"/>
      <c r="F240" s="140"/>
      <c r="G240" s="140"/>
      <c r="H240" s="140"/>
      <c r="I240" s="140"/>
      <c r="J240" s="279"/>
    </row>
    <row r="241" spans="1:10" x14ac:dyDescent="0.25">
      <c r="A241" s="279"/>
      <c r="B241" s="279"/>
      <c r="C241" s="279"/>
      <c r="D241" s="279"/>
      <c r="E241" s="279"/>
      <c r="F241" s="279"/>
      <c r="G241" s="279"/>
      <c r="H241" s="279"/>
      <c r="I241" s="279"/>
      <c r="J241" s="279"/>
    </row>
    <row r="242" spans="1:10" x14ac:dyDescent="0.25">
      <c r="A242" s="262" t="s">
        <v>299</v>
      </c>
      <c r="B242" s="262"/>
      <c r="C242" s="263">
        <f>1000*((('5. Engrais defini par l''utilisa'!C224/100)*'Donnees par defaut'!C307:D307)+(('5. Engrais defini par l''utilisa'!C226/100)*'Donnees par defaut'!C313:D313)+(('5. Engrais defini par l''utilisa'!C228/100)*'Donnees par defaut'!C318:D318)+(('5. Engrais defini par l''utilisa'!C232/100)*'Donnees par defaut'!C320:D320)+(('5. Engrais defini par l''utilisa'!C233/100)*'Donnees par defaut'!C321:D321)+(('5. Engrais defini par l''utilisa'!C234/100)*'Donnees par defaut'!C322:D322)+(('5. Engrais defini par l''utilisa'!C237/100)*'Donnees par defaut'!C323:D323)+(('5. Engrais defini par l''utilisa'!C238/100)*'Donnees par defaut'!C324:D324)+(('5. Engrais defini par l''utilisa'!C239/100)*'Donnees par defaut'!C325:D325)+(('5. Engrais defini par l''utilisa'!C240/100)*'Donnees par defaut'!C326:D326))</f>
        <v>212.5</v>
      </c>
      <c r="D242" s="279"/>
      <c r="E242" s="279"/>
      <c r="F242" s="279"/>
      <c r="G242" s="279"/>
      <c r="H242" s="279"/>
      <c r="I242" s="279"/>
      <c r="J242" s="279"/>
    </row>
    <row r="243" spans="1:10" s="326" customFormat="1" ht="15.75" thickBot="1" x14ac:dyDescent="0.3"/>
    <row r="244" spans="1:10" x14ac:dyDescent="0.25">
      <c r="A244" s="279"/>
      <c r="B244" s="279"/>
      <c r="C244" s="279"/>
      <c r="D244" s="279"/>
      <c r="E244" s="279"/>
      <c r="F244" s="279"/>
      <c r="G244" s="279"/>
      <c r="H244" s="279"/>
      <c r="I244" s="279"/>
      <c r="J244" s="279"/>
    </row>
    <row r="245" spans="1:10" x14ac:dyDescent="0.25">
      <c r="A245" s="407" t="s">
        <v>261</v>
      </c>
      <c r="B245" s="279"/>
      <c r="C245" s="188" t="s">
        <v>307</v>
      </c>
      <c r="D245" s="140"/>
      <c r="E245" s="279"/>
      <c r="F245" s="279"/>
      <c r="G245" s="279"/>
      <c r="H245" s="279"/>
      <c r="I245" s="279"/>
      <c r="J245" s="279"/>
    </row>
    <row r="246" spans="1:10" x14ac:dyDescent="0.25">
      <c r="A246" s="279"/>
      <c r="B246" s="279"/>
      <c r="C246" s="279"/>
      <c r="D246" s="279"/>
      <c r="E246" s="279"/>
      <c r="F246" s="279"/>
      <c r="G246" s="279"/>
      <c r="H246" s="279"/>
      <c r="I246" s="279"/>
      <c r="J246" s="140"/>
    </row>
    <row r="247" spans="1:10" ht="32.1" customHeight="1" x14ac:dyDescent="0.25">
      <c r="A247" s="406" t="s">
        <v>300</v>
      </c>
      <c r="B247" s="279"/>
      <c r="C247" s="279"/>
      <c r="D247" s="279"/>
      <c r="E247" s="433" t="s">
        <v>302</v>
      </c>
      <c r="F247" s="433"/>
      <c r="G247" s="433"/>
      <c r="H247" s="433"/>
      <c r="I247" s="433"/>
      <c r="J247" s="433"/>
    </row>
    <row r="248" spans="1:10" x14ac:dyDescent="0.25">
      <c r="A248" s="279"/>
      <c r="B248" s="279"/>
      <c r="C248" s="279"/>
      <c r="D248" s="279"/>
      <c r="E248" s="279"/>
      <c r="F248" s="279"/>
      <c r="G248" s="279"/>
      <c r="H248" s="279"/>
      <c r="I248" s="279"/>
      <c r="J248" s="279"/>
    </row>
    <row r="249" spans="1:10" ht="30" x14ac:dyDescent="0.25">
      <c r="A249" s="279"/>
      <c r="B249" s="279"/>
      <c r="C249" s="279"/>
      <c r="D249" s="279"/>
      <c r="E249" s="258" t="s">
        <v>266</v>
      </c>
      <c r="F249" s="258" t="s">
        <v>267</v>
      </c>
      <c r="G249" s="258" t="s">
        <v>270</v>
      </c>
      <c r="H249" s="258" t="s">
        <v>273</v>
      </c>
      <c r="I249" s="258" t="s">
        <v>275</v>
      </c>
      <c r="J249" s="279"/>
    </row>
    <row r="250" spans="1:10" x14ac:dyDescent="0.25">
      <c r="A250" s="407" t="s">
        <v>263</v>
      </c>
      <c r="B250" s="279"/>
      <c r="C250" s="188">
        <v>3</v>
      </c>
      <c r="D250" s="407" t="s">
        <v>308</v>
      </c>
      <c r="E250" s="188"/>
      <c r="F250" s="188"/>
      <c r="G250" s="188"/>
      <c r="H250" s="188"/>
      <c r="I250" s="188"/>
      <c r="J250" s="259" t="str">
        <f>CONCATENATE(E250,F250,G250,H250,I250)</f>
        <v/>
      </c>
    </row>
    <row r="251" spans="1:10" ht="30" x14ac:dyDescent="0.25">
      <c r="A251" s="407"/>
      <c r="B251" s="279"/>
      <c r="C251" s="140"/>
      <c r="D251" s="407"/>
      <c r="E251" s="258" t="s">
        <v>272</v>
      </c>
      <c r="F251" s="258" t="s">
        <v>268</v>
      </c>
      <c r="G251" s="258" t="s">
        <v>271</v>
      </c>
      <c r="H251" s="13"/>
      <c r="I251" s="279"/>
      <c r="J251" s="279"/>
    </row>
    <row r="252" spans="1:10" x14ac:dyDescent="0.25">
      <c r="A252" s="407" t="s">
        <v>264</v>
      </c>
      <c r="B252" s="279"/>
      <c r="C252" s="188">
        <v>3</v>
      </c>
      <c r="D252" s="407" t="s">
        <v>309</v>
      </c>
      <c r="E252" s="188"/>
      <c r="F252" s="188"/>
      <c r="G252" s="188"/>
      <c r="H252" s="259" t="str">
        <f>CONCATENATE(E252,F252,G252)</f>
        <v/>
      </c>
      <c r="I252" s="260" t="str">
        <f>IF(H252&gt;"Y","WARNING","")</f>
        <v/>
      </c>
      <c r="J252" s="279"/>
    </row>
    <row r="253" spans="1:10" ht="45" x14ac:dyDescent="0.25">
      <c r="A253" s="407"/>
      <c r="B253" s="279"/>
      <c r="C253" s="140"/>
      <c r="D253" s="407"/>
      <c r="E253" s="258" t="s">
        <v>274</v>
      </c>
      <c r="F253" s="258" t="s">
        <v>269</v>
      </c>
      <c r="G253" s="279"/>
      <c r="H253" s="279"/>
      <c r="I253" s="279"/>
      <c r="J253" s="279"/>
    </row>
    <row r="254" spans="1:10" x14ac:dyDescent="0.25">
      <c r="A254" s="407" t="s">
        <v>265</v>
      </c>
      <c r="B254" s="279"/>
      <c r="C254" s="188">
        <v>3</v>
      </c>
      <c r="D254" s="407" t="s">
        <v>310</v>
      </c>
      <c r="E254" s="188"/>
      <c r="F254" s="188"/>
      <c r="G254" s="259" t="str">
        <f>CONCATENATE(E254,F254)</f>
        <v/>
      </c>
      <c r="H254" s="279" t="str">
        <f>IF(G254&gt;"Y","WARNING","")</f>
        <v/>
      </c>
      <c r="I254" s="279"/>
      <c r="J254" s="279"/>
    </row>
    <row r="255" spans="1:10" x14ac:dyDescent="0.25">
      <c r="A255" s="279"/>
      <c r="B255" s="279"/>
      <c r="C255" s="279"/>
      <c r="D255" s="279"/>
      <c r="E255" s="279"/>
      <c r="F255" s="279"/>
      <c r="G255" s="279"/>
      <c r="H255" s="279"/>
      <c r="I255" s="279"/>
      <c r="J255" s="279"/>
    </row>
    <row r="256" spans="1:10" x14ac:dyDescent="0.25">
      <c r="A256" s="406" t="s">
        <v>290</v>
      </c>
      <c r="B256" s="279"/>
      <c r="C256" s="279"/>
      <c r="D256" s="279"/>
      <c r="E256" s="261"/>
      <c r="F256" s="140"/>
      <c r="G256" s="140"/>
      <c r="H256" s="140"/>
      <c r="I256" s="140"/>
      <c r="J256" s="279"/>
    </row>
    <row r="257" spans="1:10" x14ac:dyDescent="0.25">
      <c r="A257" s="279"/>
      <c r="B257" s="279"/>
      <c r="C257" s="279"/>
      <c r="D257" s="279"/>
      <c r="E257" s="140"/>
      <c r="F257" s="140"/>
      <c r="G257" s="140"/>
      <c r="H257" s="140"/>
      <c r="I257" s="140"/>
      <c r="J257" s="279"/>
    </row>
    <row r="258" spans="1:10" x14ac:dyDescent="0.25">
      <c r="A258" s="407" t="s">
        <v>284</v>
      </c>
      <c r="B258" s="279"/>
      <c r="C258" s="188"/>
      <c r="D258" s="407" t="s">
        <v>287</v>
      </c>
      <c r="E258" s="261"/>
      <c r="F258" s="140"/>
      <c r="G258" s="140"/>
      <c r="H258" s="140"/>
      <c r="I258" s="140"/>
      <c r="J258" s="279"/>
    </row>
    <row r="259" spans="1:10" x14ac:dyDescent="0.25">
      <c r="A259" s="407" t="s">
        <v>285</v>
      </c>
      <c r="B259" s="279"/>
      <c r="C259" s="188"/>
      <c r="D259" s="407" t="s">
        <v>288</v>
      </c>
      <c r="E259" s="140"/>
      <c r="F259" s="140"/>
      <c r="G259" s="140"/>
      <c r="H259" s="140"/>
      <c r="I259" s="140"/>
      <c r="J259" s="279"/>
    </row>
    <row r="260" spans="1:10" x14ac:dyDescent="0.25">
      <c r="A260" s="407" t="s">
        <v>286</v>
      </c>
      <c r="B260" s="279"/>
      <c r="C260" s="188"/>
      <c r="D260" s="407" t="s">
        <v>107</v>
      </c>
      <c r="E260" s="261"/>
      <c r="F260" s="140"/>
      <c r="G260" s="140"/>
      <c r="H260" s="140"/>
      <c r="I260" s="140"/>
      <c r="J260" s="279"/>
    </row>
    <row r="261" spans="1:10" x14ac:dyDescent="0.25">
      <c r="A261" s="279"/>
      <c r="B261" s="279"/>
      <c r="C261" s="279"/>
      <c r="D261" s="279"/>
      <c r="E261" s="140"/>
      <c r="F261" s="140"/>
      <c r="G261" s="140"/>
      <c r="H261" s="140"/>
      <c r="I261" s="140"/>
      <c r="J261" s="279"/>
    </row>
    <row r="262" spans="1:10" x14ac:dyDescent="0.25">
      <c r="A262" s="406" t="s">
        <v>289</v>
      </c>
      <c r="B262" s="279"/>
      <c r="C262" s="279"/>
      <c r="D262" s="279"/>
      <c r="E262" s="261"/>
      <c r="F262" s="140"/>
      <c r="G262" s="140"/>
      <c r="H262" s="140"/>
      <c r="I262" s="140"/>
      <c r="J262" s="279"/>
    </row>
    <row r="263" spans="1:10" x14ac:dyDescent="0.25">
      <c r="A263" s="407" t="s">
        <v>291</v>
      </c>
      <c r="B263" s="279"/>
      <c r="C263" s="188"/>
      <c r="D263" s="407" t="s">
        <v>295</v>
      </c>
      <c r="E263" s="140"/>
      <c r="F263" s="140"/>
      <c r="G263" s="140"/>
      <c r="H263" s="140"/>
      <c r="I263" s="140"/>
      <c r="J263" s="279"/>
    </row>
    <row r="264" spans="1:10" x14ac:dyDescent="0.25">
      <c r="A264" s="407" t="s">
        <v>292</v>
      </c>
      <c r="B264" s="279"/>
      <c r="C264" s="188"/>
      <c r="D264" s="407" t="s">
        <v>296</v>
      </c>
      <c r="E264" s="261"/>
      <c r="F264" s="140"/>
      <c r="G264" s="140"/>
      <c r="H264" s="140"/>
      <c r="I264" s="140"/>
      <c r="J264" s="279"/>
    </row>
    <row r="265" spans="1:10" x14ac:dyDescent="0.25">
      <c r="A265" s="407" t="s">
        <v>293</v>
      </c>
      <c r="B265" s="279"/>
      <c r="C265" s="188"/>
      <c r="D265" s="407" t="s">
        <v>297</v>
      </c>
      <c r="E265" s="261"/>
      <c r="F265" s="140"/>
      <c r="G265" s="140"/>
      <c r="H265" s="140"/>
      <c r="I265" s="140"/>
      <c r="J265" s="279"/>
    </row>
    <row r="266" spans="1:10" x14ac:dyDescent="0.25">
      <c r="A266" s="407" t="s">
        <v>294</v>
      </c>
      <c r="B266" s="279"/>
      <c r="C266" s="188"/>
      <c r="D266" s="407" t="s">
        <v>298</v>
      </c>
      <c r="E266" s="140"/>
      <c r="F266" s="140"/>
      <c r="G266" s="140"/>
      <c r="H266" s="140"/>
      <c r="I266" s="140"/>
      <c r="J266" s="279"/>
    </row>
    <row r="267" spans="1:10" x14ac:dyDescent="0.25">
      <c r="A267" s="279"/>
      <c r="B267" s="279"/>
      <c r="C267" s="279"/>
      <c r="D267" s="279"/>
      <c r="E267" s="279"/>
      <c r="F267" s="279"/>
      <c r="G267" s="279"/>
      <c r="H267" s="279"/>
      <c r="I267" s="279"/>
      <c r="J267" s="279"/>
    </row>
    <row r="268" spans="1:10" x14ac:dyDescent="0.25">
      <c r="A268" s="262" t="s">
        <v>299</v>
      </c>
      <c r="B268" s="262"/>
      <c r="C268" s="263">
        <f>1000*((('5. Engrais defini par l''utilisa'!C250/100)*'Donnees par defaut'!C336:D336)+(('5. Engrais defini par l''utilisa'!C252/100)*'Donnees par defaut'!C342:D342)+(('5. Engrais defini par l''utilisa'!C254/100)*'Donnees par defaut'!C347:D347)+(('5. Engrais defini par l''utilisa'!C258/100)*'Donnees par defaut'!C349:D349)+(('5. Engrais defini par l''utilisa'!C259/100)*'Donnees par defaut'!C350:D350)+(('5. Engrais defini par l''utilisa'!C260/100)*'Donnees par defaut'!C351:D351)+(('5. Engrais defini par l''utilisa'!C263/100)*'Donnees par defaut'!C352:D352)+(('5. Engrais defini par l''utilisa'!C264/100)*'Donnees par defaut'!C353:D353)+(('5. Engrais defini par l''utilisa'!C265/100)*'Donnees par defaut'!C354:D354)+(('5. Engrais defini par l''utilisa'!C266/100)*'Donnees par defaut'!C355:D355))</f>
        <v>212.5</v>
      </c>
      <c r="D268" s="279"/>
      <c r="E268" s="279"/>
      <c r="F268" s="279"/>
      <c r="G268" s="279"/>
      <c r="H268" s="279"/>
      <c r="I268" s="279"/>
      <c r="J268" s="279"/>
    </row>
    <row r="269" spans="1:10" x14ac:dyDescent="0.25">
      <c r="A269" s="280"/>
      <c r="B269" s="280"/>
      <c r="C269" s="280"/>
      <c r="D269" s="280"/>
      <c r="E269" s="280"/>
      <c r="F269" s="280"/>
      <c r="G269" s="280"/>
      <c r="H269" s="280"/>
      <c r="I269" s="280"/>
      <c r="J269" s="280"/>
    </row>
    <row r="270" spans="1:10" x14ac:dyDescent="0.25">
      <c r="A270" s="279"/>
      <c r="B270" s="279"/>
      <c r="C270" s="279"/>
      <c r="D270" s="279"/>
      <c r="E270" s="279"/>
      <c r="F270" s="279"/>
      <c r="G270" s="279"/>
      <c r="H270" s="279"/>
      <c r="I270" s="279"/>
      <c r="J270" s="279"/>
    </row>
    <row r="271" spans="1:10" x14ac:dyDescent="0.25">
      <c r="A271" s="280"/>
      <c r="B271" s="280"/>
      <c r="C271" s="280"/>
      <c r="D271" s="280"/>
      <c r="E271" s="280"/>
      <c r="F271" s="280"/>
      <c r="G271" s="280"/>
      <c r="H271" s="280"/>
      <c r="I271" s="280"/>
      <c r="J271" s="280"/>
    </row>
    <row r="272" spans="1:10" x14ac:dyDescent="0.25">
      <c r="A272" s="280"/>
      <c r="B272" s="280"/>
      <c r="C272" s="280"/>
      <c r="D272" s="280"/>
      <c r="E272" s="280"/>
      <c r="F272" s="280"/>
      <c r="G272" s="280"/>
      <c r="H272" s="280"/>
      <c r="I272" s="280"/>
      <c r="J272" s="280"/>
    </row>
  </sheetData>
  <mergeCells count="11">
    <mergeCell ref="A2:H2"/>
    <mergeCell ref="E169:J169"/>
    <mergeCell ref="E195:J195"/>
    <mergeCell ref="E221:J221"/>
    <mergeCell ref="E247:J247"/>
    <mergeCell ref="E8:J8"/>
    <mergeCell ref="E39:J39"/>
    <mergeCell ref="E65:J65"/>
    <mergeCell ref="E91:J91"/>
    <mergeCell ref="E117:J117"/>
    <mergeCell ref="E143:J143"/>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Introduction</vt:lpstr>
      <vt:lpstr>Abbreviation</vt:lpstr>
      <vt:lpstr>Instructions</vt:lpstr>
      <vt:lpstr>Resume des resultats</vt:lpstr>
      <vt:lpstr>1. Emissions CAT</vt:lpstr>
      <vt:lpstr>2. Production regimes (FFB)</vt:lpstr>
      <vt:lpstr>3. Carburant terrain</vt:lpstr>
      <vt:lpstr>4. Tourbe</vt:lpstr>
      <vt:lpstr>5. Engrais defini par l'utilisa</vt:lpstr>
      <vt:lpstr>6. Engrais et N2O</vt:lpstr>
      <vt:lpstr>7. Seq.Bloc Conservation</vt:lpstr>
      <vt:lpstr>8. Sequestration des cultures</vt:lpstr>
      <vt:lpstr>9. Donnees usine</vt:lpstr>
      <vt:lpstr>Donnees par defaut</vt:lpstr>
      <vt:lpstr>Alloc. emissions prod. cultures</vt:lpstr>
      <vt:lpstr>References</vt:lpstr>
      <vt:lpstr>LandUse</vt:lpstr>
      <vt:lpstr>LandUseType</vt:lpstr>
    </vt:vector>
  </TitlesOfParts>
  <Company>AAA COMPUTER REPAIRS.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Chase, Ian Henson, Amir Abdul-Manan</dc:creator>
  <cp:lastModifiedBy>Javin Tan</cp:lastModifiedBy>
  <dcterms:created xsi:type="dcterms:W3CDTF">2010-03-24T16:23:26Z</dcterms:created>
  <dcterms:modified xsi:type="dcterms:W3CDTF">2016-11-24T02:44:55Z</dcterms:modified>
</cp:coreProperties>
</file>